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asper Chang\Desktop\"/>
    </mc:Choice>
  </mc:AlternateContent>
  <xr:revisionPtr revIDLastSave="0" documentId="13_ncr:1_{EE520BDB-6EA6-4101-A920-6915BFCC9B33}" xr6:coauthVersionLast="47" xr6:coauthVersionMax="47" xr10:uidLastSave="{00000000-0000-0000-0000-000000000000}"/>
  <bookViews>
    <workbookView xWindow="-120" yWindow="-120" windowWidth="29040" windowHeight="15840" xr2:uid="{E5192E13-5312-461E-A8B6-C1FDA2DDD26D}"/>
  </bookViews>
  <sheets>
    <sheet name="Company Sheet" sheetId="2" r:id="rId1"/>
    <sheet name="Financial Statements" sheetId="3" r:id="rId2"/>
    <sheet name="Calcs &amp; Assumptions" sheetId="5" r:id="rId3"/>
    <sheet name="DCF"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25" i="5" l="1"/>
  <c r="D31" i="3"/>
  <c r="E31" i="3"/>
  <c r="F31" i="3"/>
  <c r="J35" i="1"/>
  <c r="J36" i="1" s="1"/>
  <c r="J32" i="1"/>
  <c r="E35" i="1"/>
  <c r="E33" i="1"/>
  <c r="E10" i="1"/>
  <c r="F10" i="1"/>
  <c r="G10" i="1"/>
  <c r="E11" i="1"/>
  <c r="F11" i="1"/>
  <c r="G11" i="1"/>
  <c r="E12" i="1"/>
  <c r="F12" i="1"/>
  <c r="G12" i="1"/>
  <c r="E15" i="1"/>
  <c r="F15" i="1"/>
  <c r="G15" i="1"/>
  <c r="E16" i="1"/>
  <c r="F16" i="1"/>
  <c r="G16" i="1"/>
  <c r="E17" i="1"/>
  <c r="F17" i="1"/>
  <c r="G17" i="1"/>
  <c r="H17" i="1"/>
  <c r="H16" i="1"/>
  <c r="H15" i="1"/>
  <c r="H12" i="1"/>
  <c r="I12" i="1"/>
  <c r="J12" i="1"/>
  <c r="K12" i="1"/>
  <c r="L12" i="1"/>
  <c r="H11" i="1"/>
  <c r="H10" i="1"/>
  <c r="E22" i="5"/>
  <c r="F19" i="5"/>
  <c r="E17" i="5"/>
  <c r="S14" i="5"/>
  <c r="U14" i="5" s="1"/>
  <c r="S12" i="5"/>
  <c r="S10" i="5"/>
  <c r="U10" i="5" s="1"/>
  <c r="S15" i="5"/>
  <c r="U15" i="5" s="1"/>
  <c r="S13" i="5"/>
  <c r="U13" i="5" s="1"/>
  <c r="U12" i="5"/>
  <c r="S11" i="5"/>
  <c r="U11" i="5" s="1"/>
  <c r="G91" i="3"/>
  <c r="E101" i="3"/>
  <c r="F101" i="3"/>
  <c r="D101" i="3"/>
  <c r="E98" i="3"/>
  <c r="F98" i="3"/>
  <c r="D98" i="3"/>
  <c r="F99" i="3"/>
  <c r="E99" i="3"/>
  <c r="D99" i="3"/>
  <c r="G84" i="3"/>
  <c r="G83" i="3"/>
  <c r="E92" i="3"/>
  <c r="F92" i="3"/>
  <c r="D92" i="3"/>
  <c r="E87" i="3"/>
  <c r="F87" i="3"/>
  <c r="D87" i="3"/>
  <c r="D84" i="3"/>
  <c r="G23" i="3"/>
  <c r="G24" i="3"/>
  <c r="G21" i="3"/>
  <c r="G17" i="3"/>
  <c r="G16" i="3"/>
  <c r="F43" i="3"/>
  <c r="E43" i="3"/>
  <c r="D43" i="3"/>
  <c r="D53" i="3"/>
  <c r="D54" i="3" s="1"/>
  <c r="D72" i="3" s="1"/>
  <c r="D57" i="3"/>
  <c r="D58" i="3" s="1"/>
  <c r="F57" i="3"/>
  <c r="E57" i="3"/>
  <c r="E58" i="3" s="1"/>
  <c r="G58" i="3"/>
  <c r="G60" i="3" s="1"/>
  <c r="G64" i="3" s="1"/>
  <c r="H58" i="3"/>
  <c r="H60" i="3" s="1"/>
  <c r="H64" i="3" s="1"/>
  <c r="I58" i="3"/>
  <c r="I60" i="3" s="1"/>
  <c r="I64" i="3" s="1"/>
  <c r="J58" i="3"/>
  <c r="J60" i="3" s="1"/>
  <c r="J64" i="3" s="1"/>
  <c r="K58" i="3"/>
  <c r="K60" i="3" s="1"/>
  <c r="K64" i="3" s="1"/>
  <c r="F56" i="3"/>
  <c r="F58" i="3" s="1"/>
  <c r="F53" i="3"/>
  <c r="F54" i="3" s="1"/>
  <c r="F72" i="3" s="1"/>
  <c r="E53" i="3"/>
  <c r="E54" i="3" s="1"/>
  <c r="E72" i="3" s="1"/>
  <c r="G41" i="3"/>
  <c r="H41" i="3"/>
  <c r="I41" i="3"/>
  <c r="J41" i="3"/>
  <c r="K41" i="3"/>
  <c r="G47" i="3"/>
  <c r="H47" i="3"/>
  <c r="I47" i="3"/>
  <c r="J47" i="3"/>
  <c r="K47" i="3"/>
  <c r="F44" i="3"/>
  <c r="E44" i="3"/>
  <c r="D44" i="3"/>
  <c r="F40" i="3"/>
  <c r="D40" i="3"/>
  <c r="E40" i="3"/>
  <c r="D38" i="3"/>
  <c r="D71" i="3" s="1"/>
  <c r="F38" i="3"/>
  <c r="F71" i="3" s="1"/>
  <c r="E38" i="3"/>
  <c r="E71" i="3" s="1"/>
  <c r="G30" i="3"/>
  <c r="G7" i="3"/>
  <c r="G11" i="3" s="1"/>
  <c r="E29" i="3"/>
  <c r="F29" i="3"/>
  <c r="D29" i="3"/>
  <c r="F27" i="3"/>
  <c r="E27" i="3"/>
  <c r="F12" i="3"/>
  <c r="F30" i="3" s="1"/>
  <c r="E12" i="3"/>
  <c r="E13" i="3" s="1"/>
  <c r="D12" i="3"/>
  <c r="D13" i="3" s="1"/>
  <c r="E9" i="3"/>
  <c r="E28" i="3" s="1"/>
  <c r="F9" i="3"/>
  <c r="F28" i="3" s="1"/>
  <c r="D9" i="3"/>
  <c r="D28" i="3" s="1"/>
  <c r="J38" i="1" l="1"/>
  <c r="E23" i="2" s="1"/>
  <c r="H13" i="1"/>
  <c r="H18" i="1" s="1"/>
  <c r="G13" i="1"/>
  <c r="G18" i="1" s="1"/>
  <c r="G22" i="1" s="1"/>
  <c r="E13" i="1"/>
  <c r="E18" i="1" s="1"/>
  <c r="E22" i="1" s="1"/>
  <c r="F13" i="1"/>
  <c r="F18" i="1" s="1"/>
  <c r="F22" i="1" s="1"/>
  <c r="U17" i="5"/>
  <c r="R27" i="5"/>
  <c r="E9" i="5" s="1"/>
  <c r="E13" i="5" s="1"/>
  <c r="S25" i="5"/>
  <c r="S27" i="5" s="1"/>
  <c r="F9" i="5" s="1"/>
  <c r="F13" i="5" s="1"/>
  <c r="F47" i="3"/>
  <c r="E47" i="3"/>
  <c r="E41" i="3"/>
  <c r="E70" i="3" s="1"/>
  <c r="E74" i="3" s="1"/>
  <c r="G74" i="3"/>
  <c r="F41" i="3"/>
  <c r="F70" i="3" s="1"/>
  <c r="J49" i="3"/>
  <c r="J65" i="3" s="1"/>
  <c r="I49" i="3"/>
  <c r="I65" i="3" s="1"/>
  <c r="H49" i="3"/>
  <c r="H65" i="3" s="1"/>
  <c r="G49" i="3"/>
  <c r="G65" i="3" s="1"/>
  <c r="E14" i="3"/>
  <c r="E17" i="3" s="1"/>
  <c r="D47" i="3"/>
  <c r="K49" i="3"/>
  <c r="K65" i="3" s="1"/>
  <c r="F74" i="3"/>
  <c r="D41" i="3"/>
  <c r="D70" i="3" s="1"/>
  <c r="D74" i="3" s="1"/>
  <c r="D77" i="3" s="1"/>
  <c r="G12" i="3"/>
  <c r="G13" i="3" s="1"/>
  <c r="D60" i="3"/>
  <c r="D64" i="3" s="1"/>
  <c r="F60" i="3"/>
  <c r="F64" i="3" s="1"/>
  <c r="E60" i="3"/>
  <c r="E64" i="3" s="1"/>
  <c r="F49" i="3"/>
  <c r="D14" i="3"/>
  <c r="D17" i="3" s="1"/>
  <c r="E49" i="3"/>
  <c r="F13" i="3"/>
  <c r="F14" i="3" s="1"/>
  <c r="D30" i="3"/>
  <c r="E30" i="3"/>
  <c r="G9" i="3"/>
  <c r="H7" i="3"/>
  <c r="E22" i="2" l="1"/>
  <c r="K22" i="2" s="1"/>
  <c r="K23" i="2"/>
  <c r="E8" i="2"/>
  <c r="E11" i="2" s="1"/>
  <c r="E21" i="5" s="1"/>
  <c r="H74" i="3"/>
  <c r="H75" i="3" s="1"/>
  <c r="I17" i="1" s="1"/>
  <c r="H16" i="3"/>
  <c r="I10" i="1"/>
  <c r="H91" i="3"/>
  <c r="I16" i="1" s="1"/>
  <c r="E21" i="3"/>
  <c r="E24" i="3" s="1"/>
  <c r="E65" i="3"/>
  <c r="F65" i="3"/>
  <c r="F77" i="3"/>
  <c r="F75" i="3"/>
  <c r="G14" i="3"/>
  <c r="G75" i="3"/>
  <c r="D21" i="3"/>
  <c r="D24" i="3" s="1"/>
  <c r="E77" i="3"/>
  <c r="E75" i="3"/>
  <c r="D49" i="3"/>
  <c r="D65" i="3" s="1"/>
  <c r="G8" i="3"/>
  <c r="I7" i="3"/>
  <c r="H12" i="3"/>
  <c r="H11" i="3"/>
  <c r="H9" i="3"/>
  <c r="F17" i="3"/>
  <c r="F21" i="3"/>
  <c r="F24" i="3" s="1"/>
  <c r="E32" i="5" l="1"/>
  <c r="E23" i="5"/>
  <c r="H84" i="3"/>
  <c r="I15" i="1"/>
  <c r="I74" i="3"/>
  <c r="I75" i="3" s="1"/>
  <c r="J17" i="1" s="1"/>
  <c r="I16" i="3"/>
  <c r="J10" i="1"/>
  <c r="I91" i="3"/>
  <c r="J16" i="1" s="1"/>
  <c r="J7" i="3"/>
  <c r="I9" i="3"/>
  <c r="I12" i="3"/>
  <c r="I11" i="3"/>
  <c r="H13" i="3"/>
  <c r="H14" i="3" s="1"/>
  <c r="H8" i="3"/>
  <c r="E25" i="5" l="1"/>
  <c r="E26" i="5"/>
  <c r="E21" i="2"/>
  <c r="K21" i="2" s="1"/>
  <c r="E20" i="2"/>
  <c r="K20" i="2" s="1"/>
  <c r="I84" i="3"/>
  <c r="J15" i="1"/>
  <c r="H17" i="3"/>
  <c r="H21" i="3" s="1"/>
  <c r="H23" i="3" s="1"/>
  <c r="H24" i="3" s="1"/>
  <c r="H83" i="3" s="1"/>
  <c r="I11" i="1"/>
  <c r="I13" i="1" s="1"/>
  <c r="I18" i="1" s="1"/>
  <c r="J74" i="3"/>
  <c r="J75" i="3" s="1"/>
  <c r="K17" i="1" s="1"/>
  <c r="J91" i="3"/>
  <c r="K16" i="1" s="1"/>
  <c r="K10" i="1"/>
  <c r="J16" i="3"/>
  <c r="I13" i="3"/>
  <c r="I14" i="3" s="1"/>
  <c r="K7" i="3"/>
  <c r="J12" i="3"/>
  <c r="J11" i="3"/>
  <c r="J9" i="3"/>
  <c r="I8" i="3"/>
  <c r="E28" i="5" l="1"/>
  <c r="L20" i="1" s="1"/>
  <c r="E26" i="1" s="1"/>
  <c r="F28" i="5"/>
  <c r="H20" i="1" s="1"/>
  <c r="I17" i="3"/>
  <c r="I21" i="3" s="1"/>
  <c r="I23" i="3" s="1"/>
  <c r="I24" i="3" s="1"/>
  <c r="I83" i="3" s="1"/>
  <c r="J11" i="1"/>
  <c r="J13" i="1" s="1"/>
  <c r="J18" i="1" s="1"/>
  <c r="J84" i="3"/>
  <c r="K15" i="1"/>
  <c r="K74" i="3"/>
  <c r="K75" i="3" s="1"/>
  <c r="L17" i="1" s="1"/>
  <c r="K16" i="3"/>
  <c r="L10" i="1"/>
  <c r="K91" i="3"/>
  <c r="L16" i="1" s="1"/>
  <c r="J13" i="3"/>
  <c r="J14" i="3" s="1"/>
  <c r="J8" i="3"/>
  <c r="K11" i="3"/>
  <c r="K12" i="3"/>
  <c r="K9" i="3"/>
  <c r="K8" i="3" s="1"/>
  <c r="H21" i="1" l="1"/>
  <c r="I20" i="1"/>
  <c r="J20" i="1" s="1"/>
  <c r="K20" i="1" s="1"/>
  <c r="K11" i="1"/>
  <c r="K13" i="1" s="1"/>
  <c r="K18" i="1" s="1"/>
  <c r="J17" i="3"/>
  <c r="J21" i="3" s="1"/>
  <c r="K84" i="3"/>
  <c r="L15" i="1"/>
  <c r="K13" i="3"/>
  <c r="K14" i="3" s="1"/>
  <c r="H22" i="1" l="1"/>
  <c r="I21" i="1"/>
  <c r="J23" i="3"/>
  <c r="J24" i="3" s="1"/>
  <c r="J83" i="3" s="1"/>
  <c r="K17" i="3"/>
  <c r="K21" i="3" s="1"/>
  <c r="L11" i="1"/>
  <c r="L13" i="1" s="1"/>
  <c r="L18" i="1" s="1"/>
  <c r="J21" i="1" l="1"/>
  <c r="I22" i="1"/>
  <c r="K23" i="3"/>
  <c r="K24" i="3" s="1"/>
  <c r="K83" i="3" s="1"/>
  <c r="K21" i="1" l="1"/>
  <c r="J22" i="1"/>
  <c r="L21" i="1" l="1"/>
  <c r="L22" i="1" s="1"/>
  <c r="E25" i="1" s="1"/>
  <c r="E27" i="1" s="1"/>
  <c r="E28" i="1" s="1"/>
  <c r="K22" i="1"/>
  <c r="E24" i="1" s="1"/>
  <c r="E31" i="1" s="1"/>
  <c r="E29" i="1" l="1"/>
  <c r="E32" i="1" s="1"/>
  <c r="E37" i="1" s="1"/>
  <c r="E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Jasper Chang</author>
  </authors>
  <commentList>
    <comment ref="C12" authorId="0" shapeId="0" xr:uid="{CC9C4B90-EA71-42B9-9371-5CC74C9603D9}">
      <text>
        <r>
          <rPr>
            <b/>
            <sz val="9"/>
            <color indexed="81"/>
            <rFont val="Tahoma"/>
            <family val="2"/>
          </rPr>
          <t>Jasper Chang:</t>
        </r>
        <r>
          <rPr>
            <sz val="9"/>
            <color indexed="81"/>
            <rFont val="Tahoma"/>
            <family val="2"/>
          </rPr>
          <t xml:space="preserve">
SG&amp;A and COGS both include D&amp;A</t>
        </r>
      </text>
    </comment>
    <comment ref="J27" authorId="0" shapeId="0" xr:uid="{A42F0B20-D58E-458A-B50B-0A64985F2E59}">
      <text>
        <r>
          <rPr>
            <b/>
            <sz val="9"/>
            <color indexed="81"/>
            <rFont val="Tahoma"/>
            <family val="2"/>
          </rPr>
          <t>Jasper Chang:</t>
        </r>
        <r>
          <rPr>
            <sz val="9"/>
            <color indexed="81"/>
            <rFont val="Tahoma"/>
            <family val="2"/>
          </rPr>
          <t xml:space="preserve">
’25 and '26 both assume sub 20% nominal growth rates assuming long-term 2% risk-free inflation</t>
        </r>
      </text>
    </comment>
    <comment ref="C32" authorId="0" shapeId="0" xr:uid="{B70C7AE2-FBC0-4FFB-B65B-9B68B4780D24}">
      <text>
        <r>
          <rPr>
            <b/>
            <sz val="9"/>
            <color indexed="81"/>
            <rFont val="Tahoma"/>
            <family val="2"/>
          </rPr>
          <t>Jasper Chang:</t>
        </r>
        <r>
          <rPr>
            <sz val="9"/>
            <color indexed="81"/>
            <rFont val="Tahoma"/>
            <family val="2"/>
          </rPr>
          <t xml:space="preserve">
Tax benefit @ Statutory rate = 21%, with other adjustments (pg. 119 on 10K)</t>
        </r>
      </text>
    </comment>
    <comment ref="C56" authorId="0" shapeId="0" xr:uid="{34F7EB0E-CF85-409B-922F-C67DD52BDCAC}">
      <text>
        <r>
          <rPr>
            <b/>
            <sz val="9"/>
            <color indexed="81"/>
            <rFont val="Tahoma"/>
            <family val="2"/>
          </rPr>
          <t>Jasper Chang:</t>
        </r>
        <r>
          <rPr>
            <sz val="9"/>
            <color indexed="81"/>
            <rFont val="Tahoma"/>
            <family val="2"/>
          </rPr>
          <t xml:space="preserve">
Is defined as convertible senior notes on FY2020 10K, debt on FY2021 10K</t>
        </r>
      </text>
    </comment>
  </commentList>
</comments>
</file>

<file path=xl/sharedStrings.xml><?xml version="1.0" encoding="utf-8"?>
<sst xmlns="http://schemas.openxmlformats.org/spreadsheetml/2006/main" count="272" uniqueCount="193">
  <si>
    <t xml:space="preserve">Twilio </t>
  </si>
  <si>
    <t>Current Assets</t>
  </si>
  <si>
    <t>TWLO</t>
  </si>
  <si>
    <t>Share Price</t>
  </si>
  <si>
    <t>Preferred Stock</t>
  </si>
  <si>
    <t>-</t>
  </si>
  <si>
    <t>Share Price 4/29 closing</t>
  </si>
  <si>
    <t>Market Cap</t>
  </si>
  <si>
    <t>Income Statement</t>
  </si>
  <si>
    <t>Revenue</t>
  </si>
  <si>
    <t>2019A</t>
  </si>
  <si>
    <t>2020A</t>
  </si>
  <si>
    <t>2021A</t>
  </si>
  <si>
    <t>COGS</t>
  </si>
  <si>
    <t>Gross Profit</t>
  </si>
  <si>
    <t>2022FY</t>
  </si>
  <si>
    <t>2023FY</t>
  </si>
  <si>
    <t>2024FY</t>
  </si>
  <si>
    <t>2025FY</t>
  </si>
  <si>
    <t>2026FY</t>
  </si>
  <si>
    <t>(in thousands)</t>
  </si>
  <si>
    <t>R&amp;D</t>
  </si>
  <si>
    <t>SG&amp;A</t>
  </si>
  <si>
    <t>Total Operating Expenses</t>
  </si>
  <si>
    <t>EBIT</t>
  </si>
  <si>
    <t>EBIT / Operating Income</t>
  </si>
  <si>
    <t>D&amp;A</t>
  </si>
  <si>
    <t>Reported EBITDA</t>
  </si>
  <si>
    <t>Interest Expense</t>
  </si>
  <si>
    <t>Other expense (income)</t>
  </si>
  <si>
    <t>Pre-tax Income</t>
  </si>
  <si>
    <t>Net Income</t>
  </si>
  <si>
    <t>Diluted EPS</t>
  </si>
  <si>
    <t>Drivers and Ratios</t>
  </si>
  <si>
    <t>Gross Margin</t>
  </si>
  <si>
    <t>Effective Tax Rate</t>
  </si>
  <si>
    <t>Comments</t>
  </si>
  <si>
    <t>Assuming outperformance during 2022 and further slowdowns into maturity with target 30% from leadership</t>
  </si>
  <si>
    <t xml:space="preserve">High growth in near term, slowdowns to software SAAS averages of 10-15% </t>
  </si>
  <si>
    <t xml:space="preserve">Average software gross margin </t>
  </si>
  <si>
    <t>Average maturity 18% SGA/sales</t>
  </si>
  <si>
    <t>assumption - from management: breakeven in 1-2 years</t>
  </si>
  <si>
    <t>R&amp;D / Sales</t>
  </si>
  <si>
    <t>SG&amp;A / Sales</t>
  </si>
  <si>
    <t>Revenue Growth</t>
  </si>
  <si>
    <t>network service provider cost increases &amp; increase in amortization expenses from acquisitions</t>
  </si>
  <si>
    <t>increase in personnel costs</t>
  </si>
  <si>
    <t>sales/marketing increase in costs</t>
  </si>
  <si>
    <t>interest expenses were "negligible"</t>
  </si>
  <si>
    <t>D&amp;A / Sales</t>
  </si>
  <si>
    <t>Balance Sheet</t>
  </si>
  <si>
    <t>Cash &amp; Equivalents</t>
  </si>
  <si>
    <t>Includes marketable securities</t>
  </si>
  <si>
    <t>Accounts Receivable</t>
  </si>
  <si>
    <t>Prepaid Expenses</t>
  </si>
  <si>
    <t>PP&amp;E</t>
  </si>
  <si>
    <t>Intangible assets</t>
  </si>
  <si>
    <t>Goodwill</t>
  </si>
  <si>
    <t>Other long-term assets</t>
  </si>
  <si>
    <t>Long-term Assets</t>
  </si>
  <si>
    <t>Total Assets</t>
  </si>
  <si>
    <t>Marginal tax rate assumption of 21%</t>
  </si>
  <si>
    <t>Accounts Payable</t>
  </si>
  <si>
    <t xml:space="preserve">Accrued Expenses &amp; other </t>
  </si>
  <si>
    <t>Deferred Revenues &amp; Operating Lease Liab.</t>
  </si>
  <si>
    <t>Current Liabilities</t>
  </si>
  <si>
    <t>Debt</t>
  </si>
  <si>
    <t>Total Liabilities</t>
  </si>
  <si>
    <t>Long-term Liabilities</t>
  </si>
  <si>
    <t>Shareholder's Equity</t>
  </si>
  <si>
    <t>SE + Liabilities</t>
  </si>
  <si>
    <t>Other noncurrent liabilities</t>
  </si>
  <si>
    <t>Check</t>
  </si>
  <si>
    <t>Current Portion of Debt</t>
  </si>
  <si>
    <t>Net working Capital</t>
  </si>
  <si>
    <t>Changes in NWC</t>
  </si>
  <si>
    <t>Capex</t>
  </si>
  <si>
    <t>Includes operating right-of-use assets</t>
  </si>
  <si>
    <t xml:space="preserve">Working Capital Schedule </t>
  </si>
  <si>
    <t>Cash Flow Statement</t>
  </si>
  <si>
    <t>Cash Flow from Operating Activities</t>
  </si>
  <si>
    <t>Tax</t>
  </si>
  <si>
    <t>Tax Expense or Benefits for Tax</t>
  </si>
  <si>
    <t>reported in notes (matches # in CFS)</t>
  </si>
  <si>
    <t>Using an average from '19-21</t>
  </si>
  <si>
    <t>Changes in Accounts Receivable</t>
  </si>
  <si>
    <t>Other Changes</t>
  </si>
  <si>
    <t>Tax Benefit related to release of valuation all.</t>
  </si>
  <si>
    <t>Acquisitions</t>
  </si>
  <si>
    <t>Cash Flow from Investing Activities</t>
  </si>
  <si>
    <t>Proceeds from public offerings</t>
  </si>
  <si>
    <t>Issuance of notes due 2029, 2031</t>
  </si>
  <si>
    <t>Principal Payments on Debt/Finance Leases</t>
  </si>
  <si>
    <t>Cash Flow from Financing Activities</t>
  </si>
  <si>
    <t>Capex / Sales</t>
  </si>
  <si>
    <t>NWC / Sales</t>
  </si>
  <si>
    <t>Estimations from Finbox</t>
  </si>
  <si>
    <t>WACC</t>
  </si>
  <si>
    <t>Cost of Equity</t>
  </si>
  <si>
    <t>Beta</t>
  </si>
  <si>
    <t>Vonage</t>
  </si>
  <si>
    <t>Bandwidth</t>
  </si>
  <si>
    <t>Ringcentral</t>
  </si>
  <si>
    <t>8x8</t>
  </si>
  <si>
    <t>Sinch</t>
  </si>
  <si>
    <t>Levered Beta</t>
  </si>
  <si>
    <t>Debt/Capital</t>
  </si>
  <si>
    <t xml:space="preserve">Marginal Tax </t>
  </si>
  <si>
    <t>Unlevered Beta</t>
  </si>
  <si>
    <t>Debt/Equity</t>
  </si>
  <si>
    <t>Median</t>
  </si>
  <si>
    <t xml:space="preserve">Note: seems there aren't very many suitable comparisons (above are mainly within CPAAS) but </t>
  </si>
  <si>
    <t>capital structure are extremely different. Within the larger software group, average unlevered</t>
  </si>
  <si>
    <t>Low</t>
  </si>
  <si>
    <t>High</t>
  </si>
  <si>
    <t>Marginal Tax</t>
  </si>
  <si>
    <t>Risk Free Rate</t>
  </si>
  <si>
    <t>Notes</t>
  </si>
  <si>
    <t>Used 5/1 10YT, 3.27 as a projection</t>
  </si>
  <si>
    <t>WACC Calculation</t>
  </si>
  <si>
    <t>Market Risk Premium</t>
  </si>
  <si>
    <t>Bond Rating</t>
  </si>
  <si>
    <t>Ba3/BB</t>
  </si>
  <si>
    <t xml:space="preserve">Spread from Damodaran </t>
  </si>
  <si>
    <t>Tax Rate</t>
  </si>
  <si>
    <t>Average from Financial Statement build, round up 1%</t>
  </si>
  <si>
    <t>Cost of Debt</t>
  </si>
  <si>
    <t>Market Value of Equity</t>
  </si>
  <si>
    <t>Total Capital</t>
  </si>
  <si>
    <t>(uses book value)</t>
  </si>
  <si>
    <t>Equity/Capital</t>
  </si>
  <si>
    <t>No preferreds</t>
  </si>
  <si>
    <t>Beta Comparables</t>
  </si>
  <si>
    <t>range</t>
  </si>
  <si>
    <t>DCF Build</t>
  </si>
  <si>
    <t>NOPAT</t>
  </si>
  <si>
    <t>Change in NW</t>
  </si>
  <si>
    <t>FCFF</t>
  </si>
  <si>
    <t>Cost of Capital</t>
  </si>
  <si>
    <t>Cumulative Disc. Factor</t>
  </si>
  <si>
    <t>PV(FCFF)</t>
  </si>
  <si>
    <t>Sum of PV(FCFF)</t>
  </si>
  <si>
    <t>Terminal CF</t>
  </si>
  <si>
    <t>Terminal Cost of Capital</t>
  </si>
  <si>
    <t>Terminal Value</t>
  </si>
  <si>
    <t>Assuming convergence towards lower bound</t>
  </si>
  <si>
    <t>Probability of Failure</t>
  </si>
  <si>
    <t>Proceeds if Failure</t>
  </si>
  <si>
    <t xml:space="preserve">use fair value </t>
  </si>
  <si>
    <t>50% distress proceeds</t>
  </si>
  <si>
    <t>Value of operating assets</t>
  </si>
  <si>
    <t>PV(Terminal Value)</t>
  </si>
  <si>
    <t>Total PV</t>
  </si>
  <si>
    <t>-Debt</t>
  </si>
  <si>
    <t>-Minority Interest</t>
  </si>
  <si>
    <t>+Cash</t>
  </si>
  <si>
    <t>+Non-operating Assets</t>
  </si>
  <si>
    <t>Value of Equity</t>
  </si>
  <si>
    <t>Gordon Growth Method Exit</t>
  </si>
  <si>
    <t>Shares outstanding</t>
  </si>
  <si>
    <t>Options outsanding</t>
  </si>
  <si>
    <t>avg price</t>
  </si>
  <si>
    <t>Proceeds</t>
  </si>
  <si>
    <t>Shares repurchased</t>
  </si>
  <si>
    <t>FDSO</t>
  </si>
  <si>
    <t>RSU</t>
  </si>
  <si>
    <t>Couldn't find separate D&amp;A numbers, could only do dirty forecast</t>
  </si>
  <si>
    <t>beta is around 1.15 - but given Twilio's volatility, will use 1.4-1.6 range</t>
  </si>
  <si>
    <t>Perpetuity Growth Rate</t>
  </si>
  <si>
    <t>Assumption of perpetuity growth rate, given 4-5% foreseeable inflation</t>
  </si>
  <si>
    <t>(adjusted to in thousands)</t>
  </si>
  <si>
    <t>Enterprise value</t>
  </si>
  <si>
    <t>EV-EBITDA</t>
  </si>
  <si>
    <t>EV-Revenue</t>
  </si>
  <si>
    <t>(included 4.2B NOL carryforward subtracted, cash&amp;cash equivalents subtracted)</t>
  </si>
  <si>
    <t>P/E</t>
  </si>
  <si>
    <t>Twilio</t>
  </si>
  <si>
    <t>Symbol</t>
  </si>
  <si>
    <t>4.13x</t>
  </si>
  <si>
    <t>50.8x</t>
  </si>
  <si>
    <t>18.2x</t>
  </si>
  <si>
    <t>1.5x</t>
  </si>
  <si>
    <t>5.76x</t>
  </si>
  <si>
    <t>2.3x</t>
  </si>
  <si>
    <t>6.13x</t>
  </si>
  <si>
    <t>13x</t>
  </si>
  <si>
    <t>Basic Multiples Comp Set</t>
  </si>
  <si>
    <t xml:space="preserve">Situated in the CPAAS (communications platforms as a service), Twilio is one of the largest key player within the space. With an overall industry 27.6% CAGR, which translates to tripling in sizing within the next few years, Twilio currently holds 38% of TAM. Global mobile app markets and cloud communications are both poised to meaningfully grow as well (with mid 20% CAGRs) - companies such as Airbnb, Lyft, etc., also happen to be clients of Twilio. Closest competitors currently are Vonage and Sinch (Sweden). Twilio operates via a cloud-based delivery model that enables users to add video, messaging and voice features to business software. It recently launched Twilio Engage, which is the by-product of its channel APIs and Segment's customer data platform. High switching costs, technology and network effect allows them to continue a foothold in the market. Despite EBITDA being negative, they have a huge 5.9 billion cash balance and 1 billion in debt, so given their revenue growth at around 40%, which outperformed what leadership said to be 30%, it has great potential. As active customer accounts continue increasing, there is a large amount of growth expected in the near term, as their business stablizes/potentially breaks even. </t>
  </si>
  <si>
    <t xml:space="preserve">From a pricing perspective, enterprise value multiples show attractive relative pricing to its competitors. Although leverage structures differ largely across peers in this space, an intrinsic valuation still shows large upsides of more than 300% for Twilio within the next few years - assuming a slowdown in revenue growth from 40% in 2022 to 12% by 2026. With a perpetuity growth rate assumption of 7.35% at terminal value, intrinsic share price is valued to be $339.74. Employing an EV/EBITDA exit of a conservative 15x (relative to Vonage and Sinch), implied trading value range also shows a 200%+ upside. </t>
  </si>
  <si>
    <t>Rating</t>
  </si>
  <si>
    <t>OW</t>
  </si>
  <si>
    <t>Note: did not project line items on CFS and BS due to focus on DCF and less on comp set</t>
  </si>
  <si>
    <t>Public information from Finbox and other publicly available sources (did not go through calculations for each, asides from Twilio)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</si>
</sst>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85" formatCode="_(* #,##0_);_(* \(#,##0\);_(* &quot;-&quot;??_);_(@_)"/>
    <numFmt numFmtId="189" formatCode="0.0000000"/>
    <numFmt numFmtId="193" formatCode="0.00\x"/>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26"/>
      <color theme="1"/>
      <name val="Calibri"/>
      <family val="2"/>
      <scheme val="minor"/>
    </font>
    <font>
      <sz val="10"/>
      <name val="Arial"/>
      <family val="2"/>
    </font>
    <font>
      <sz val="16"/>
      <color theme="0"/>
      <name val="Calibri"/>
      <family val="2"/>
      <scheme val="minor"/>
    </font>
    <font>
      <sz val="11"/>
      <color rgb="FF0070C0"/>
      <name val="Calibri"/>
      <family val="2"/>
      <scheme val="minor"/>
    </font>
    <font>
      <sz val="11"/>
      <color theme="9"/>
      <name val="Calibri"/>
      <family val="2"/>
      <scheme val="minor"/>
    </font>
    <font>
      <sz val="9"/>
      <color indexed="81"/>
      <name val="Tahoma"/>
      <family val="2"/>
    </font>
    <font>
      <b/>
      <sz val="9"/>
      <color indexed="81"/>
      <name val="Tahoma"/>
      <family val="2"/>
    </font>
    <font>
      <u/>
      <sz val="11"/>
      <color theme="1"/>
      <name val="Calibri"/>
      <family val="2"/>
      <scheme val="minor"/>
    </font>
    <font>
      <sz val="11"/>
      <name val="Calibri"/>
      <family val="2"/>
      <scheme val="minor"/>
    </font>
    <font>
      <sz val="8"/>
      <color theme="6"/>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2"/>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4" fillId="0" borderId="0">
      <alignment vertical="top"/>
    </xf>
  </cellStyleXfs>
  <cellXfs count="123">
    <xf numFmtId="0" fontId="0" fillId="0" borderId="0" xfId="0"/>
    <xf numFmtId="0" fontId="2" fillId="0" borderId="0" xfId="0" applyFont="1"/>
    <xf numFmtId="0" fontId="0" fillId="0" borderId="0" xfId="0" applyFont="1"/>
    <xf numFmtId="3" fontId="0" fillId="0" borderId="0" xfId="0" applyNumberFormat="1"/>
    <xf numFmtId="0" fontId="0" fillId="0" borderId="0" xfId="0" applyAlignment="1">
      <alignment horizontal="right"/>
    </xf>
    <xf numFmtId="0" fontId="0" fillId="0" borderId="0" xfId="0" applyAlignment="1"/>
    <xf numFmtId="0" fontId="5" fillId="2" borderId="0" xfId="0" applyFont="1" applyFill="1" applyAlignment="1">
      <alignment horizontal="center"/>
    </xf>
    <xf numFmtId="0" fontId="7" fillId="0" borderId="0" xfId="0" applyFont="1"/>
    <xf numFmtId="0" fontId="0" fillId="0" borderId="1" xfId="0" applyBorder="1" applyAlignment="1">
      <alignment horizontal="right"/>
    </xf>
    <xf numFmtId="3" fontId="6" fillId="0" borderId="0" xfId="0" applyNumberFormat="1" applyFont="1"/>
    <xf numFmtId="43" fontId="0" fillId="0" borderId="0" xfId="1" applyNumberFormat="1" applyFont="1"/>
    <xf numFmtId="41" fontId="6" fillId="0" borderId="0" xfId="1" applyNumberFormat="1" applyFont="1"/>
    <xf numFmtId="41" fontId="7" fillId="0" borderId="0" xfId="1" applyNumberFormat="1" applyFont="1"/>
    <xf numFmtId="41" fontId="0" fillId="0" borderId="0" xfId="1" applyNumberFormat="1" applyFont="1"/>
    <xf numFmtId="41" fontId="6" fillId="0" borderId="2" xfId="1" applyNumberFormat="1" applyFont="1" applyBorder="1"/>
    <xf numFmtId="41" fontId="6" fillId="0" borderId="0" xfId="1" applyNumberFormat="1" applyFont="1" applyAlignment="1">
      <alignment horizontal="right"/>
    </xf>
    <xf numFmtId="0" fontId="10" fillId="0" borderId="0" xfId="0" applyFont="1"/>
    <xf numFmtId="10" fontId="6" fillId="0" borderId="0" xfId="1" applyNumberFormat="1" applyFont="1"/>
    <xf numFmtId="41" fontId="11" fillId="0" borderId="0" xfId="1" applyNumberFormat="1" applyFont="1"/>
    <xf numFmtId="41" fontId="11" fillId="0" borderId="2" xfId="1" applyNumberFormat="1" applyFont="1" applyBorder="1"/>
    <xf numFmtId="10" fontId="11" fillId="0" borderId="0" xfId="1" applyNumberFormat="1" applyFont="1" applyAlignment="1">
      <alignment horizontal="right"/>
    </xf>
    <xf numFmtId="10" fontId="11" fillId="0" borderId="0" xfId="1" applyNumberFormat="1" applyFont="1"/>
    <xf numFmtId="9" fontId="11" fillId="0" borderId="0" xfId="1" applyNumberFormat="1" applyFont="1" applyAlignment="1">
      <alignment horizontal="right"/>
    </xf>
    <xf numFmtId="9" fontId="11" fillId="0" borderId="0" xfId="1" applyNumberFormat="1" applyFont="1"/>
    <xf numFmtId="0" fontId="0" fillId="0" borderId="0" xfId="0" applyFill="1" applyBorder="1" applyAlignment="1">
      <alignment horizontal="right"/>
    </xf>
    <xf numFmtId="0" fontId="0" fillId="0" borderId="0" xfId="0" applyFill="1" applyBorder="1" applyAlignment="1">
      <alignment horizontal="left"/>
    </xf>
    <xf numFmtId="0" fontId="0" fillId="0" borderId="4" xfId="0" applyBorder="1" applyAlignment="1">
      <alignment horizontal="right"/>
    </xf>
    <xf numFmtId="41" fontId="6" fillId="0" borderId="3" xfId="1" applyNumberFormat="1" applyFont="1" applyBorder="1"/>
    <xf numFmtId="41" fontId="11" fillId="0" borderId="5" xfId="1" applyNumberFormat="1" applyFont="1" applyBorder="1"/>
    <xf numFmtId="41" fontId="11" fillId="0" borderId="3" xfId="1" applyNumberFormat="1" applyFont="1" applyBorder="1"/>
    <xf numFmtId="41" fontId="6" fillId="0" borderId="3" xfId="1" applyNumberFormat="1" applyFont="1" applyBorder="1" applyAlignment="1">
      <alignment horizontal="right"/>
    </xf>
    <xf numFmtId="10" fontId="11" fillId="0" borderId="3" xfId="1" applyNumberFormat="1" applyFont="1" applyBorder="1"/>
    <xf numFmtId="9" fontId="11" fillId="0" borderId="3" xfId="1" applyNumberFormat="1" applyFont="1" applyBorder="1"/>
    <xf numFmtId="41" fontId="6" fillId="0" borderId="0" xfId="1" applyNumberFormat="1" applyFont="1" applyBorder="1" applyAlignment="1">
      <alignment horizontal="right"/>
    </xf>
    <xf numFmtId="41" fontId="11" fillId="0" borderId="0" xfId="1" applyNumberFormat="1" applyFont="1" applyFill="1" applyBorder="1" applyAlignment="1"/>
    <xf numFmtId="41" fontId="1" fillId="0" borderId="0" xfId="1" applyNumberFormat="1" applyFont="1" applyAlignment="1">
      <alignment wrapText="1"/>
    </xf>
    <xf numFmtId="41" fontId="0" fillId="0" borderId="5" xfId="1" applyNumberFormat="1" applyFont="1" applyBorder="1"/>
    <xf numFmtId="41" fontId="0" fillId="0" borderId="3" xfId="1" applyNumberFormat="1" applyFont="1" applyBorder="1"/>
    <xf numFmtId="41" fontId="6" fillId="0" borderId="5" xfId="1" applyNumberFormat="1" applyFont="1" applyBorder="1"/>
    <xf numFmtId="0" fontId="0" fillId="0" borderId="0" xfId="0" applyFill="1" applyBorder="1" applyAlignment="1"/>
    <xf numFmtId="41" fontId="6" fillId="0" borderId="1" xfId="1" applyNumberFormat="1" applyFont="1" applyBorder="1"/>
    <xf numFmtId="41" fontId="6" fillId="0" borderId="4" xfId="1" applyNumberFormat="1" applyFont="1" applyBorder="1"/>
    <xf numFmtId="41" fontId="0" fillId="0" borderId="1" xfId="1" applyNumberFormat="1" applyFont="1" applyBorder="1"/>
    <xf numFmtId="41" fontId="1" fillId="0" borderId="5" xfId="1" applyNumberFormat="1" applyFont="1" applyBorder="1" applyAlignment="1">
      <alignment wrapText="1"/>
    </xf>
    <xf numFmtId="0" fontId="0" fillId="0" borderId="3" xfId="0" applyBorder="1"/>
    <xf numFmtId="41" fontId="0" fillId="0" borderId="0" xfId="0" applyNumberFormat="1"/>
    <xf numFmtId="0" fontId="0" fillId="0" borderId="1" xfId="0" applyBorder="1"/>
    <xf numFmtId="43" fontId="0" fillId="0" borderId="3" xfId="1" applyNumberFormat="1" applyFont="1" applyBorder="1"/>
    <xf numFmtId="10" fontId="0" fillId="0" borderId="0" xfId="1" applyNumberFormat="1" applyFont="1"/>
    <xf numFmtId="10" fontId="0" fillId="0" borderId="3" xfId="1" applyNumberFormat="1" applyFont="1" applyBorder="1"/>
    <xf numFmtId="43" fontId="0" fillId="0" borderId="0" xfId="1" applyNumberFormat="1" applyFont="1" applyBorder="1"/>
    <xf numFmtId="10" fontId="0" fillId="0" borderId="0" xfId="1" applyNumberFormat="1" applyFont="1" applyBorder="1"/>
    <xf numFmtId="0" fontId="0" fillId="0" borderId="0" xfId="0" applyFill="1" applyBorder="1"/>
    <xf numFmtId="41" fontId="0" fillId="0" borderId="3" xfId="0" applyNumberFormat="1" applyBorder="1"/>
    <xf numFmtId="41" fontId="7" fillId="3" borderId="0" xfId="1" applyNumberFormat="1" applyFont="1" applyFill="1"/>
    <xf numFmtId="41" fontId="7" fillId="3" borderId="1" xfId="1" applyNumberFormat="1" applyFont="1" applyFill="1" applyBorder="1"/>
    <xf numFmtId="41" fontId="1" fillId="3" borderId="0" xfId="1" applyNumberFormat="1" applyFont="1" applyFill="1" applyAlignment="1">
      <alignment wrapText="1"/>
    </xf>
    <xf numFmtId="41" fontId="0" fillId="3" borderId="0" xfId="1" applyNumberFormat="1" applyFont="1" applyFill="1"/>
    <xf numFmtId="41" fontId="0" fillId="3" borderId="1" xfId="1" applyNumberFormat="1" applyFont="1" applyFill="1" applyBorder="1"/>
    <xf numFmtId="41" fontId="0" fillId="3" borderId="7" xfId="1" applyNumberFormat="1" applyFont="1" applyFill="1" applyBorder="1"/>
    <xf numFmtId="41" fontId="0" fillId="0" borderId="4" xfId="1" applyNumberFormat="1" applyFont="1" applyBorder="1"/>
    <xf numFmtId="41" fontId="6" fillId="0" borderId="0" xfId="0" applyNumberFormat="1" applyFont="1"/>
    <xf numFmtId="41" fontId="6" fillId="0" borderId="1" xfId="0" applyNumberFormat="1" applyFont="1" applyBorder="1"/>
    <xf numFmtId="41" fontId="6" fillId="0" borderId="5" xfId="0" applyNumberFormat="1" applyFont="1" applyBorder="1"/>
    <xf numFmtId="41" fontId="6" fillId="0" borderId="3" xfId="0" applyNumberFormat="1" applyFont="1" applyBorder="1"/>
    <xf numFmtId="41" fontId="6" fillId="0" borderId="4" xfId="0" applyNumberFormat="1" applyFont="1" applyBorder="1"/>
    <xf numFmtId="41" fontId="6" fillId="0" borderId="0" xfId="0" applyNumberFormat="1" applyFont="1" applyAlignment="1">
      <alignment horizontal="right"/>
    </xf>
    <xf numFmtId="41" fontId="0" fillId="3" borderId="0" xfId="0" applyNumberFormat="1" applyFill="1"/>
    <xf numFmtId="41" fontId="0" fillId="3" borderId="1" xfId="0" applyNumberFormat="1" applyFill="1" applyBorder="1"/>
    <xf numFmtId="41" fontId="0" fillId="0" borderId="0" xfId="0" applyNumberFormat="1" applyFill="1"/>
    <xf numFmtId="10" fontId="0" fillId="0" borderId="0" xfId="0" applyNumberFormat="1"/>
    <xf numFmtId="10" fontId="0" fillId="0" borderId="3" xfId="0" applyNumberFormat="1" applyBorder="1"/>
    <xf numFmtId="0" fontId="0" fillId="0" borderId="9" xfId="0" applyBorder="1"/>
    <xf numFmtId="3" fontId="0" fillId="0" borderId="5" xfId="0" applyNumberFormat="1" applyBorder="1"/>
    <xf numFmtId="0" fontId="0" fillId="0" borderId="6" xfId="0" applyBorder="1"/>
    <xf numFmtId="0" fontId="0" fillId="0" borderId="3" xfId="0" applyBorder="1" applyAlignment="1">
      <alignment horizontal="right"/>
    </xf>
    <xf numFmtId="0" fontId="0" fillId="0" borderId="7" xfId="0" applyBorder="1"/>
    <xf numFmtId="0" fontId="2" fillId="0" borderId="9" xfId="0" applyFont="1" applyBorder="1"/>
    <xf numFmtId="0" fontId="2" fillId="0" borderId="6" xfId="0" applyFont="1" applyBorder="1"/>
    <xf numFmtId="0" fontId="2" fillId="0" borderId="7" xfId="0" applyFont="1" applyBorder="1"/>
    <xf numFmtId="0" fontId="0" fillId="0" borderId="10" xfId="0" applyBorder="1"/>
    <xf numFmtId="0" fontId="0" fillId="0" borderId="1" xfId="0" applyBorder="1" applyAlignment="1">
      <alignment horizontal="center"/>
    </xf>
    <xf numFmtId="9" fontId="0" fillId="0" borderId="0" xfId="0" applyNumberFormat="1"/>
    <xf numFmtId="2" fontId="0" fillId="0" borderId="0" xfId="0" applyNumberFormat="1"/>
    <xf numFmtId="2" fontId="2" fillId="0" borderId="0" xfId="0" applyNumberFormat="1" applyFont="1"/>
    <xf numFmtId="0" fontId="0" fillId="0" borderId="0" xfId="0" applyBorder="1"/>
    <xf numFmtId="0" fontId="5" fillId="0" borderId="0" xfId="0" applyFont="1" applyFill="1" applyAlignment="1"/>
    <xf numFmtId="3" fontId="0" fillId="0" borderId="4" xfId="0" applyNumberFormat="1" applyBorder="1"/>
    <xf numFmtId="43" fontId="0" fillId="0" borderId="0" xfId="0" applyNumberFormat="1"/>
    <xf numFmtId="10" fontId="0" fillId="0" borderId="8" xfId="0" applyNumberFormat="1" applyBorder="1"/>
    <xf numFmtId="9" fontId="6" fillId="0" borderId="0" xfId="0" applyNumberFormat="1" applyFont="1"/>
    <xf numFmtId="185" fontId="0" fillId="0" borderId="0" xfId="0" applyNumberFormat="1"/>
    <xf numFmtId="189" fontId="0" fillId="0" borderId="0" xfId="0" applyNumberFormat="1"/>
    <xf numFmtId="185" fontId="0" fillId="0" borderId="2" xfId="0" applyNumberFormat="1" applyBorder="1" applyAlignment="1"/>
    <xf numFmtId="185" fontId="0" fillId="0" borderId="2" xfId="0" applyNumberFormat="1" applyBorder="1"/>
    <xf numFmtId="185" fontId="2" fillId="0" borderId="0" xfId="0" applyNumberFormat="1" applyFont="1"/>
    <xf numFmtId="49" fontId="0" fillId="0" borderId="0" xfId="0" applyNumberFormat="1"/>
    <xf numFmtId="9" fontId="0" fillId="0" borderId="0" xfId="0" applyNumberFormat="1" applyAlignment="1">
      <alignment horizontal="right"/>
    </xf>
    <xf numFmtId="3" fontId="2" fillId="0" borderId="0" xfId="0" applyNumberFormat="1" applyFont="1"/>
    <xf numFmtId="3" fontId="6" fillId="0" borderId="1" xfId="0" applyNumberFormat="1" applyFont="1" applyBorder="1"/>
    <xf numFmtId="49" fontId="2" fillId="0" borderId="1" xfId="0" applyNumberFormat="1" applyFont="1" applyBorder="1"/>
    <xf numFmtId="185" fontId="6" fillId="0" borderId="0" xfId="0" applyNumberFormat="1" applyFont="1"/>
    <xf numFmtId="10" fontId="6" fillId="0" borderId="0" xfId="0" applyNumberFormat="1" applyFont="1"/>
    <xf numFmtId="185" fontId="6" fillId="0" borderId="1" xfId="0" applyNumberFormat="1" applyFont="1" applyBorder="1"/>
    <xf numFmtId="0" fontId="6" fillId="0" borderId="0" xfId="0" applyFont="1" applyAlignment="1">
      <alignment horizontal="right"/>
    </xf>
    <xf numFmtId="185" fontId="2" fillId="0" borderId="1" xfId="0" applyNumberFormat="1" applyFont="1" applyBorder="1"/>
    <xf numFmtId="189" fontId="6" fillId="0" borderId="0" xfId="0" applyNumberFormat="1" applyFont="1"/>
    <xf numFmtId="0" fontId="0" fillId="0" borderId="8" xfId="0" applyBorder="1"/>
    <xf numFmtId="0" fontId="3" fillId="0" borderId="0" xfId="0" applyFont="1" applyAlignment="1">
      <alignment horizontal="left"/>
    </xf>
    <xf numFmtId="43" fontId="0" fillId="0" borderId="4" xfId="0" applyNumberFormat="1" applyBorder="1"/>
    <xf numFmtId="0" fontId="0" fillId="0" borderId="0" xfId="0" applyBorder="1" applyAlignment="1">
      <alignment horizontal="right"/>
    </xf>
    <xf numFmtId="193" fontId="0" fillId="0" borderId="2" xfId="0" applyNumberFormat="1" applyBorder="1" applyAlignment="1">
      <alignment horizontal="right"/>
    </xf>
    <xf numFmtId="193" fontId="0" fillId="0" borderId="0" xfId="0" applyNumberFormat="1" applyBorder="1" applyAlignment="1">
      <alignment horizontal="right"/>
    </xf>
    <xf numFmtId="43" fontId="0" fillId="0" borderId="1" xfId="0" applyNumberFormat="1" applyBorder="1" applyAlignment="1">
      <alignment horizontal="right"/>
    </xf>
    <xf numFmtId="2" fontId="0" fillId="0" borderId="0" xfId="0" applyNumberFormat="1" applyBorder="1" applyAlignment="1">
      <alignment horizontal="right"/>
    </xf>
    <xf numFmtId="0" fontId="0" fillId="0" borderId="2" xfId="0" applyBorder="1" applyAlignment="1">
      <alignment horizontal="right"/>
    </xf>
    <xf numFmtId="2" fontId="0" fillId="0" borderId="3" xfId="0" applyNumberFormat="1" applyBorder="1" applyAlignment="1">
      <alignment horizontal="right"/>
    </xf>
    <xf numFmtId="193" fontId="2" fillId="0" borderId="3" xfId="0" applyNumberFormat="1" applyFont="1" applyBorder="1"/>
    <xf numFmtId="193" fontId="2" fillId="0" borderId="5" xfId="0" applyNumberFormat="1" applyFont="1" applyBorder="1"/>
    <xf numFmtId="0" fontId="0" fillId="0" borderId="0" xfId="0" applyAlignment="1">
      <alignment horizontal="left" wrapText="1"/>
    </xf>
    <xf numFmtId="0" fontId="0" fillId="0" borderId="0" xfId="0" applyAlignment="1">
      <alignment horizontal="left" vertical="top" wrapText="1"/>
    </xf>
    <xf numFmtId="0" fontId="0" fillId="4" borderId="11" xfId="0" applyFill="1" applyBorder="1"/>
    <xf numFmtId="0" fontId="12" fillId="0" borderId="0" xfId="0" applyFont="1" applyFill="1" applyBorder="1"/>
  </cellXfs>
  <cellStyles count="3">
    <cellStyle name="Currency" xfId="1" builtinId="4"/>
    <cellStyle name="Normal" xfId="0" builtinId="0"/>
    <cellStyle name="Normal 2" xfId="2" xr:uid="{1E40567D-4490-4575-8AC9-564E5B2A7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C7271-590F-4E3C-BF67-532432224845}">
  <dimension ref="D5:U26"/>
  <sheetViews>
    <sheetView showGridLines="0" tabSelected="1" workbookViewId="0">
      <selection activeCell="I11" sqref="I11"/>
    </sheetView>
  </sheetViews>
  <sheetFormatPr defaultRowHeight="15" x14ac:dyDescent="0.25"/>
  <cols>
    <col min="1" max="2" width="9.140625" customWidth="1"/>
    <col min="4" max="4" width="21.42578125" customWidth="1"/>
    <col min="5" max="5" width="14.42578125" customWidth="1"/>
    <col min="6" max="6" width="11.7109375" customWidth="1"/>
    <col min="7" max="7" width="11.42578125" customWidth="1"/>
    <col min="8" max="8" width="13.85546875" customWidth="1"/>
    <col min="9" max="9" width="10.42578125" customWidth="1"/>
    <col min="10" max="10" width="9.85546875" customWidth="1"/>
    <col min="11" max="11" width="12" customWidth="1"/>
    <col min="16" max="16" width="12.42578125" customWidth="1"/>
    <col min="17" max="17" width="11.42578125" customWidth="1"/>
  </cols>
  <sheetData>
    <row r="5" spans="4:21" ht="33.75" x14ac:dyDescent="0.5">
      <c r="D5" s="108" t="s">
        <v>0</v>
      </c>
      <c r="E5" s="108"/>
    </row>
    <row r="7" spans="4:21" x14ac:dyDescent="0.25">
      <c r="D7" t="s">
        <v>177</v>
      </c>
      <c r="E7" t="s">
        <v>2</v>
      </c>
    </row>
    <row r="8" spans="4:21" x14ac:dyDescent="0.25">
      <c r="D8" s="77" t="s">
        <v>164</v>
      </c>
      <c r="E8" s="73">
        <f>DCF!J38*1000</f>
        <v>182984579.99418709</v>
      </c>
    </row>
    <row r="9" spans="4:21" x14ac:dyDescent="0.25">
      <c r="D9" s="74" t="s">
        <v>4</v>
      </c>
      <c r="E9" s="75" t="s">
        <v>5</v>
      </c>
    </row>
    <row r="10" spans="4:21" x14ac:dyDescent="0.25">
      <c r="D10" s="78" t="s">
        <v>6</v>
      </c>
      <c r="E10" s="44">
        <v>111.82</v>
      </c>
    </row>
    <row r="11" spans="4:21" x14ac:dyDescent="0.25">
      <c r="D11" s="79" t="s">
        <v>7</v>
      </c>
      <c r="E11" s="87">
        <f>E8*E10</f>
        <v>20461335734.949997</v>
      </c>
    </row>
    <row r="13" spans="4:21" ht="100.5" customHeight="1" x14ac:dyDescent="0.25">
      <c r="D13" s="119" t="s">
        <v>187</v>
      </c>
      <c r="E13" s="119"/>
      <c r="F13" s="119"/>
      <c r="G13" s="119"/>
      <c r="H13" s="119"/>
      <c r="I13" s="119"/>
      <c r="J13" s="119"/>
      <c r="K13" s="119"/>
      <c r="L13" s="119"/>
      <c r="M13" s="119"/>
      <c r="N13" s="119"/>
      <c r="O13" s="119"/>
      <c r="P13" s="119"/>
      <c r="Q13" s="119"/>
      <c r="R13" s="119"/>
      <c r="S13" s="119"/>
      <c r="T13" s="119"/>
      <c r="U13" s="119"/>
    </row>
    <row r="14" spans="4:21" x14ac:dyDescent="0.25">
      <c r="D14" s="5"/>
    </row>
    <row r="15" spans="4:21" ht="44.25" customHeight="1" x14ac:dyDescent="0.25">
      <c r="D15" s="120" t="s">
        <v>188</v>
      </c>
      <c r="E15" s="120"/>
      <c r="F15" s="120"/>
      <c r="G15" s="120"/>
      <c r="H15" s="120"/>
      <c r="I15" s="120"/>
      <c r="J15" s="120"/>
      <c r="K15" s="120"/>
      <c r="L15" s="120"/>
      <c r="M15" s="120"/>
      <c r="N15" s="120"/>
      <c r="O15" s="120"/>
      <c r="P15" s="120"/>
      <c r="Q15" s="120"/>
      <c r="R15" s="120"/>
      <c r="S15" s="120"/>
      <c r="T15" s="120"/>
      <c r="U15" s="120"/>
    </row>
    <row r="18" spans="4:17" x14ac:dyDescent="0.25">
      <c r="D18" s="1" t="s">
        <v>186</v>
      </c>
    </row>
    <row r="19" spans="4:17" x14ac:dyDescent="0.25">
      <c r="E19" s="4" t="s">
        <v>176</v>
      </c>
      <c r="F19" s="4" t="s">
        <v>100</v>
      </c>
      <c r="G19" s="110" t="s">
        <v>101</v>
      </c>
      <c r="H19" s="110" t="s">
        <v>102</v>
      </c>
      <c r="I19" s="110" t="s">
        <v>103</v>
      </c>
      <c r="J19" s="110" t="s">
        <v>104</v>
      </c>
      <c r="K19" s="24" t="s">
        <v>110</v>
      </c>
    </row>
    <row r="20" spans="4:17" x14ac:dyDescent="0.25">
      <c r="D20" s="72" t="s">
        <v>172</v>
      </c>
      <c r="E20" s="111">
        <f>'Calcs &amp; Assumptions'!E32/'Financial Statements'!F17</f>
        <v>-18.513275494974177</v>
      </c>
      <c r="F20" s="115" t="s">
        <v>179</v>
      </c>
      <c r="G20" s="115" t="s">
        <v>180</v>
      </c>
      <c r="H20" s="111">
        <v>-52</v>
      </c>
      <c r="I20" s="111">
        <v>-10.4</v>
      </c>
      <c r="J20" s="111" t="s">
        <v>185</v>
      </c>
      <c r="K20" s="118">
        <f>MEDIAN(E20:J20)</f>
        <v>-18.513275494974177</v>
      </c>
    </row>
    <row r="21" spans="4:17" x14ac:dyDescent="0.25">
      <c r="D21" s="74" t="s">
        <v>173</v>
      </c>
      <c r="E21" s="112">
        <f>'Calcs &amp; Assumptions'!E32/'Financial Statements'!F7</f>
        <v>4.2813951581880598</v>
      </c>
      <c r="F21" s="110" t="s">
        <v>178</v>
      </c>
      <c r="G21" s="110" t="s">
        <v>181</v>
      </c>
      <c r="H21" s="110" t="s">
        <v>182</v>
      </c>
      <c r="I21" s="110" t="s">
        <v>183</v>
      </c>
      <c r="J21" s="110" t="s">
        <v>184</v>
      </c>
      <c r="K21" s="117">
        <f t="shared" ref="K21:K23" si="0">MEDIAN(E21:J21)</f>
        <v>4.2813951581880598</v>
      </c>
      <c r="P21" s="80" t="s">
        <v>189</v>
      </c>
      <c r="Q21" s="121" t="s">
        <v>190</v>
      </c>
    </row>
    <row r="22" spans="4:17" x14ac:dyDescent="0.25">
      <c r="D22" s="74" t="s">
        <v>175</v>
      </c>
      <c r="E22" s="114">
        <f>E10/E23</f>
        <v>-21.540515564743657</v>
      </c>
      <c r="F22" s="110">
        <v>154.22999999999999</v>
      </c>
      <c r="G22" s="110">
        <v>56.42</v>
      </c>
      <c r="H22" s="110">
        <v>69.489999999999995</v>
      </c>
      <c r="I22" s="110">
        <v>-7.71</v>
      </c>
      <c r="J22" s="110">
        <v>93.6</v>
      </c>
      <c r="K22" s="116">
        <f>MEDIAN(E22:J22)</f>
        <v>62.954999999999998</v>
      </c>
    </row>
    <row r="23" spans="4:17" x14ac:dyDescent="0.25">
      <c r="D23" s="76" t="s">
        <v>32</v>
      </c>
      <c r="E23" s="113">
        <f>'Financial Statements'!F24/DCF!J38</f>
        <v>-5.1911478007063527</v>
      </c>
      <c r="F23" s="113">
        <v>-0.09</v>
      </c>
      <c r="G23" s="113">
        <v>-1.0900000000000001</v>
      </c>
      <c r="H23" s="113">
        <v>-4.0919999999999996</v>
      </c>
      <c r="I23" s="113">
        <v>-1.57</v>
      </c>
      <c r="J23" s="113">
        <v>0.12</v>
      </c>
      <c r="K23" s="109">
        <f t="shared" si="0"/>
        <v>-1.33</v>
      </c>
    </row>
    <row r="24" spans="4:17" x14ac:dyDescent="0.25">
      <c r="D24" s="122" t="s">
        <v>192</v>
      </c>
    </row>
    <row r="26" spans="4:17" x14ac:dyDescent="0.25">
      <c r="D26" t="s">
        <v>191</v>
      </c>
    </row>
  </sheetData>
  <mergeCells count="3">
    <mergeCell ref="D5:E5"/>
    <mergeCell ref="D13:U13"/>
    <mergeCell ref="D15:U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18D5A-5FF7-48C5-8629-9AB63D637895}">
  <dimension ref="C3:P110"/>
  <sheetViews>
    <sheetView showGridLines="0" workbookViewId="0">
      <selection activeCell="F7" sqref="F7"/>
    </sheetView>
  </sheetViews>
  <sheetFormatPr defaultRowHeight="15" x14ac:dyDescent="0.25"/>
  <cols>
    <col min="3" max="3" width="42.85546875" customWidth="1"/>
    <col min="4" max="6" width="14.28515625" bestFit="1" customWidth="1"/>
    <col min="7" max="7" width="12.140625" customWidth="1"/>
    <col min="8" max="8" width="12.28515625" customWidth="1"/>
    <col min="9" max="10" width="12.140625" customWidth="1"/>
    <col min="11" max="11" width="12" customWidth="1"/>
    <col min="12" max="12" width="9.140625" customWidth="1"/>
    <col min="13" max="13" width="11.5703125" customWidth="1"/>
  </cols>
  <sheetData>
    <row r="3" spans="3:16" ht="14.25" customHeight="1" x14ac:dyDescent="0.25"/>
    <row r="4" spans="3:16" ht="21.75" customHeight="1" x14ac:dyDescent="0.35">
      <c r="C4" s="6" t="s">
        <v>8</v>
      </c>
      <c r="D4" s="6"/>
      <c r="E4" s="6"/>
      <c r="F4" s="6"/>
      <c r="G4" s="6"/>
      <c r="H4" s="6"/>
      <c r="I4" s="6"/>
      <c r="J4" s="6"/>
      <c r="K4" s="6"/>
      <c r="L4" s="6"/>
      <c r="M4" s="6"/>
      <c r="N4" s="6"/>
      <c r="O4" s="6"/>
      <c r="P4" s="6"/>
    </row>
    <row r="5" spans="3:16" x14ac:dyDescent="0.25">
      <c r="D5" t="s">
        <v>20</v>
      </c>
    </row>
    <row r="6" spans="3:16" x14ac:dyDescent="0.25">
      <c r="D6" s="8" t="s">
        <v>10</v>
      </c>
      <c r="E6" s="8" t="s">
        <v>11</v>
      </c>
      <c r="F6" s="26" t="s">
        <v>12</v>
      </c>
      <c r="G6" s="8" t="s">
        <v>15</v>
      </c>
      <c r="H6" s="8" t="s">
        <v>16</v>
      </c>
      <c r="I6" s="8" t="s">
        <v>17</v>
      </c>
      <c r="J6" s="8" t="s">
        <v>18</v>
      </c>
      <c r="K6" s="8" t="s">
        <v>19</v>
      </c>
      <c r="M6" s="25" t="s">
        <v>36</v>
      </c>
    </row>
    <row r="7" spans="3:16" x14ac:dyDescent="0.25">
      <c r="C7" t="s">
        <v>9</v>
      </c>
      <c r="D7" s="11">
        <v>1134468</v>
      </c>
      <c r="E7" s="11">
        <v>1761776</v>
      </c>
      <c r="F7" s="27">
        <v>2841839</v>
      </c>
      <c r="G7" s="11">
        <f>F7*(1+G27)</f>
        <v>3978574.5999999996</v>
      </c>
      <c r="H7" s="11">
        <f t="shared" ref="H7:K7" si="0">G7*(1+H27)</f>
        <v>5172146.9799999995</v>
      </c>
      <c r="I7" s="11">
        <f t="shared" si="0"/>
        <v>6361740.7853999995</v>
      </c>
      <c r="J7" s="11">
        <f t="shared" si="0"/>
        <v>7316001.9032099992</v>
      </c>
      <c r="K7" s="11">
        <f t="shared" si="0"/>
        <v>8193922.1315951999</v>
      </c>
    </row>
    <row r="8" spans="3:16" x14ac:dyDescent="0.25">
      <c r="C8" t="s">
        <v>13</v>
      </c>
      <c r="D8" s="11">
        <v>525551</v>
      </c>
      <c r="E8" s="11">
        <v>846115</v>
      </c>
      <c r="F8" s="27">
        <v>1451126</v>
      </c>
      <c r="G8" s="11">
        <f>G7-G9</f>
        <v>1989287.2999999998</v>
      </c>
      <c r="H8" s="11">
        <f t="shared" ref="H8:K8" si="1">H7-H9</f>
        <v>2379187.6107999994</v>
      </c>
      <c r="I8" s="11">
        <f t="shared" si="1"/>
        <v>2481078.906306</v>
      </c>
      <c r="J8" s="11">
        <f t="shared" si="1"/>
        <v>2706920.7041876996</v>
      </c>
      <c r="K8" s="11">
        <f t="shared" si="1"/>
        <v>2458176.6394785605</v>
      </c>
      <c r="M8" t="s">
        <v>45</v>
      </c>
    </row>
    <row r="9" spans="3:16" x14ac:dyDescent="0.25">
      <c r="C9" s="1" t="s">
        <v>14</v>
      </c>
      <c r="D9" s="19">
        <f>D7-D8</f>
        <v>608917</v>
      </c>
      <c r="E9" s="19">
        <f t="shared" ref="E9:F9" si="2">E7-E8</f>
        <v>915661</v>
      </c>
      <c r="F9" s="28">
        <f t="shared" si="2"/>
        <v>1390713</v>
      </c>
      <c r="G9" s="14">
        <f>G7*G28</f>
        <v>1989287.2999999998</v>
      </c>
      <c r="H9" s="14">
        <f t="shared" ref="H9:K9" si="3">H7*H28</f>
        <v>2792959.3692000001</v>
      </c>
      <c r="I9" s="14">
        <f t="shared" si="3"/>
        <v>3880661.8790939995</v>
      </c>
      <c r="J9" s="14">
        <f t="shared" si="3"/>
        <v>4609081.1990222996</v>
      </c>
      <c r="K9" s="14">
        <f t="shared" si="3"/>
        <v>5735745.4921166394</v>
      </c>
    </row>
    <row r="10" spans="3:16" x14ac:dyDescent="0.25">
      <c r="D10" s="18"/>
      <c r="E10" s="18"/>
      <c r="F10" s="29"/>
      <c r="G10" s="11"/>
      <c r="H10" s="11"/>
      <c r="I10" s="11"/>
      <c r="J10" s="11"/>
      <c r="K10" s="11"/>
    </row>
    <row r="11" spans="3:16" x14ac:dyDescent="0.25">
      <c r="C11" t="s">
        <v>21</v>
      </c>
      <c r="D11" s="11">
        <v>391355</v>
      </c>
      <c r="E11" s="11">
        <v>530548</v>
      </c>
      <c r="F11" s="27">
        <v>789219</v>
      </c>
      <c r="G11" s="11">
        <f>G29*G7</f>
        <v>994643.64999999991</v>
      </c>
      <c r="H11" s="11">
        <f t="shared" ref="H11:K11" si="4">H29*H7</f>
        <v>1034429.3959999999</v>
      </c>
      <c r="I11" s="11">
        <f t="shared" si="4"/>
        <v>954261.11780999985</v>
      </c>
      <c r="J11" s="11">
        <f t="shared" si="4"/>
        <v>951080.24741729989</v>
      </c>
      <c r="K11" s="11">
        <f t="shared" si="4"/>
        <v>1065209.877107376</v>
      </c>
      <c r="M11" t="s">
        <v>46</v>
      </c>
    </row>
    <row r="12" spans="3:16" x14ac:dyDescent="0.25">
      <c r="C12" t="s">
        <v>22</v>
      </c>
      <c r="D12" s="11">
        <f>369079+218268</f>
        <v>587347</v>
      </c>
      <c r="E12" s="11">
        <f>567407+310607</f>
        <v>878014</v>
      </c>
      <c r="F12" s="27">
        <f>1044618+472460</f>
        <v>1517078</v>
      </c>
      <c r="G12" s="11">
        <f>G30*G7</f>
        <v>1989287.2999999998</v>
      </c>
      <c r="H12" s="11">
        <f t="shared" ref="H12:K12" si="5">H30*H7</f>
        <v>1603365.5637999999</v>
      </c>
      <c r="I12" s="11">
        <f t="shared" si="5"/>
        <v>1781287.419912</v>
      </c>
      <c r="J12" s="11">
        <f t="shared" si="5"/>
        <v>1755840.4567703998</v>
      </c>
      <c r="K12" s="11">
        <f t="shared" si="5"/>
        <v>1638784.4263190401</v>
      </c>
      <c r="M12" t="s">
        <v>47</v>
      </c>
    </row>
    <row r="13" spans="3:16" x14ac:dyDescent="0.25">
      <c r="C13" t="s">
        <v>23</v>
      </c>
      <c r="D13" s="11">
        <f>SUM(D11:D12)</f>
        <v>978702</v>
      </c>
      <c r="E13" s="11">
        <f t="shared" ref="E13:F13" si="6">SUM(E11:E12)</f>
        <v>1408562</v>
      </c>
      <c r="F13" s="27">
        <f t="shared" si="6"/>
        <v>2306297</v>
      </c>
      <c r="G13" s="11">
        <f>SUM(G11:G12)</f>
        <v>2983930.9499999997</v>
      </c>
      <c r="H13" s="11">
        <f t="shared" ref="H13:K13" si="7">SUM(H11:H12)</f>
        <v>2637794.9597999998</v>
      </c>
      <c r="I13" s="11">
        <f t="shared" si="7"/>
        <v>2735548.5377219999</v>
      </c>
      <c r="J13" s="11">
        <f t="shared" si="7"/>
        <v>2706920.7041876996</v>
      </c>
      <c r="K13" s="11">
        <f t="shared" si="7"/>
        <v>2703994.3034264161</v>
      </c>
    </row>
    <row r="14" spans="3:16" x14ac:dyDescent="0.25">
      <c r="C14" s="1" t="s">
        <v>25</v>
      </c>
      <c r="D14" s="19">
        <f>D9-D13</f>
        <v>-369785</v>
      </c>
      <c r="E14" s="19">
        <f t="shared" ref="E14:F14" si="8">E9-E13</f>
        <v>-492901</v>
      </c>
      <c r="F14" s="28">
        <f t="shared" si="8"/>
        <v>-915584</v>
      </c>
      <c r="G14" s="14">
        <f>G9-G13</f>
        <v>-994643.64999999991</v>
      </c>
      <c r="H14" s="14">
        <f t="shared" ref="H14:K14" si="9">H9-H13</f>
        <v>155164.40940000024</v>
      </c>
      <c r="I14" s="14">
        <f t="shared" si="9"/>
        <v>1145113.3413719996</v>
      </c>
      <c r="J14" s="14">
        <f t="shared" si="9"/>
        <v>1902160.4948346</v>
      </c>
      <c r="K14" s="14">
        <f t="shared" si="9"/>
        <v>3031751.1886902233</v>
      </c>
      <c r="M14" t="s">
        <v>41</v>
      </c>
    </row>
    <row r="15" spans="3:16" x14ac:dyDescent="0.25">
      <c r="D15" s="18"/>
      <c r="E15" s="18"/>
      <c r="F15" s="29"/>
      <c r="G15" s="11"/>
      <c r="H15" s="11"/>
      <c r="I15" s="11"/>
      <c r="J15" s="11"/>
      <c r="K15" s="11"/>
    </row>
    <row r="16" spans="3:16" x14ac:dyDescent="0.25">
      <c r="C16" t="s">
        <v>26</v>
      </c>
      <c r="D16" s="40">
        <v>110430</v>
      </c>
      <c r="E16" s="40">
        <v>149660</v>
      </c>
      <c r="F16" s="41">
        <v>258378</v>
      </c>
      <c r="G16" s="40">
        <f>G31*G7</f>
        <v>358071.71399999998</v>
      </c>
      <c r="H16" s="40">
        <f t="shared" ref="H16:K16" si="10">H31*H7</f>
        <v>362050.28860000003</v>
      </c>
      <c r="I16" s="40">
        <f t="shared" si="10"/>
        <v>318087.03927000001</v>
      </c>
      <c r="J16" s="40">
        <f t="shared" si="10"/>
        <v>292640.07612839999</v>
      </c>
      <c r="K16" s="40">
        <f t="shared" si="10"/>
        <v>245817.663947856</v>
      </c>
      <c r="M16" t="s">
        <v>83</v>
      </c>
    </row>
    <row r="17" spans="3:13" x14ac:dyDescent="0.25">
      <c r="C17" s="1" t="s">
        <v>27</v>
      </c>
      <c r="D17" s="18">
        <f>D16+D14</f>
        <v>-259355</v>
      </c>
      <c r="E17" s="18">
        <f t="shared" ref="E17:F17" si="11">E16+E14</f>
        <v>-343241</v>
      </c>
      <c r="F17" s="29">
        <f t="shared" si="11"/>
        <v>-657206</v>
      </c>
      <c r="G17" s="11">
        <f>G14+G16</f>
        <v>-636571.93599999999</v>
      </c>
      <c r="H17" s="11">
        <f t="shared" ref="H17:K17" si="12">H14+H16</f>
        <v>517214.69800000027</v>
      </c>
      <c r="I17" s="11">
        <f t="shared" si="12"/>
        <v>1463200.3806419997</v>
      </c>
      <c r="J17" s="11">
        <f t="shared" si="12"/>
        <v>2194800.5709629999</v>
      </c>
      <c r="K17" s="11">
        <f t="shared" si="12"/>
        <v>3277568.8526380793</v>
      </c>
    </row>
    <row r="18" spans="3:13" x14ac:dyDescent="0.25">
      <c r="D18" s="18"/>
      <c r="E18" s="18"/>
      <c r="F18" s="29"/>
      <c r="G18" s="11"/>
      <c r="H18" s="11"/>
      <c r="I18" s="11"/>
      <c r="J18" s="11"/>
      <c r="K18" s="11"/>
    </row>
    <row r="19" spans="3:13" x14ac:dyDescent="0.25">
      <c r="C19" t="s">
        <v>28</v>
      </c>
      <c r="D19" s="15" t="s">
        <v>5</v>
      </c>
      <c r="E19" s="15" t="s">
        <v>5</v>
      </c>
      <c r="F19" s="30" t="s">
        <v>5</v>
      </c>
      <c r="G19" s="33" t="s">
        <v>5</v>
      </c>
      <c r="H19" s="33" t="s">
        <v>5</v>
      </c>
      <c r="I19" s="33" t="s">
        <v>5</v>
      </c>
      <c r="J19" s="33" t="s">
        <v>5</v>
      </c>
      <c r="K19" s="33" t="s">
        <v>5</v>
      </c>
      <c r="M19" s="34" t="s">
        <v>48</v>
      </c>
    </row>
    <row r="20" spans="3:13" x14ac:dyDescent="0.25">
      <c r="C20" t="s">
        <v>29</v>
      </c>
      <c r="D20" s="11">
        <v>7569</v>
      </c>
      <c r="E20" s="11">
        <v>-11525</v>
      </c>
      <c r="F20" s="27">
        <v>-45345</v>
      </c>
      <c r="G20" s="15" t="s">
        <v>5</v>
      </c>
      <c r="H20" s="15" t="s">
        <v>5</v>
      </c>
      <c r="I20" s="15" t="s">
        <v>5</v>
      </c>
      <c r="J20" s="15" t="s">
        <v>5</v>
      </c>
      <c r="K20" s="15" t="s">
        <v>5</v>
      </c>
    </row>
    <row r="21" spans="3:13" x14ac:dyDescent="0.25">
      <c r="C21" s="1" t="s">
        <v>30</v>
      </c>
      <c r="D21" s="19">
        <f>D20+D14</f>
        <v>-362216</v>
      </c>
      <c r="E21" s="19">
        <f t="shared" ref="E21:F21" si="13">E20+E14</f>
        <v>-504426</v>
      </c>
      <c r="F21" s="28">
        <f t="shared" si="13"/>
        <v>-960929</v>
      </c>
      <c r="G21" s="14">
        <f>G17-SUM(G19:G20)</f>
        <v>-636571.93599999999</v>
      </c>
      <c r="H21" s="14">
        <f t="shared" ref="H21:K21" si="14">H17-SUM(H19:H20)</f>
        <v>517214.69800000027</v>
      </c>
      <c r="I21" s="14">
        <f t="shared" si="14"/>
        <v>1463200.3806419997</v>
      </c>
      <c r="J21" s="14">
        <f t="shared" si="14"/>
        <v>2194800.5709629999</v>
      </c>
      <c r="K21" s="14">
        <f t="shared" si="14"/>
        <v>3277568.8526380793</v>
      </c>
    </row>
    <row r="22" spans="3:13" x14ac:dyDescent="0.25">
      <c r="D22" s="18"/>
      <c r="E22" s="18"/>
      <c r="F22" s="29"/>
      <c r="G22" s="11"/>
      <c r="H22" s="11"/>
      <c r="I22" s="11"/>
      <c r="J22" s="11"/>
      <c r="K22" s="11"/>
    </row>
    <row r="23" spans="3:13" x14ac:dyDescent="0.25">
      <c r="C23" t="s">
        <v>82</v>
      </c>
      <c r="D23" s="40">
        <v>-55153</v>
      </c>
      <c r="E23" s="40">
        <v>-13447</v>
      </c>
      <c r="F23" s="41">
        <v>-11029</v>
      </c>
      <c r="G23" s="40">
        <f>G21*(1-G32)</f>
        <v>-598377.61983999994</v>
      </c>
      <c r="H23" s="40">
        <f>H21*(1-H32)</f>
        <v>481009.66914000019</v>
      </c>
      <c r="I23" s="40">
        <f>I21*(1-I32)</f>
        <v>1272984.3311585397</v>
      </c>
      <c r="J23" s="40">
        <f t="shared" ref="J23:K23" si="15">J21*(1-J32)</f>
        <v>1733892.4510607701</v>
      </c>
      <c r="K23" s="40">
        <f t="shared" si="15"/>
        <v>2589279.3935840828</v>
      </c>
    </row>
    <row r="24" spans="3:13" x14ac:dyDescent="0.25">
      <c r="C24" s="1" t="s">
        <v>31</v>
      </c>
      <c r="D24" s="18">
        <f>D21-D23</f>
        <v>-307063</v>
      </c>
      <c r="E24" s="18">
        <f t="shared" ref="E24:F24" si="16">E21-E23</f>
        <v>-490979</v>
      </c>
      <c r="F24" s="29">
        <f t="shared" si="16"/>
        <v>-949900</v>
      </c>
      <c r="G24" s="11">
        <f>G21-G23</f>
        <v>-38194.316160000046</v>
      </c>
      <c r="H24" s="11">
        <f t="shared" ref="H24:K24" si="17">H21-H23</f>
        <v>36205.028860000079</v>
      </c>
      <c r="I24" s="11">
        <f t="shared" si="17"/>
        <v>190216.04948345991</v>
      </c>
      <c r="J24" s="11">
        <f t="shared" si="17"/>
        <v>460908.11990222987</v>
      </c>
      <c r="K24" s="11">
        <f t="shared" si="17"/>
        <v>688289.45905399648</v>
      </c>
    </row>
    <row r="25" spans="3:13" x14ac:dyDescent="0.25">
      <c r="D25" s="18"/>
      <c r="E25" s="18"/>
      <c r="F25" s="29"/>
      <c r="G25" s="12"/>
      <c r="H25" s="12"/>
      <c r="I25" s="12"/>
      <c r="J25" s="12"/>
      <c r="K25" s="12"/>
    </row>
    <row r="26" spans="3:13" x14ac:dyDescent="0.25">
      <c r="C26" s="16" t="s">
        <v>33</v>
      </c>
      <c r="D26" s="18"/>
      <c r="E26" s="18"/>
      <c r="F26" s="29"/>
      <c r="G26" s="12"/>
      <c r="H26" s="12"/>
      <c r="I26" s="12"/>
      <c r="J26" s="12"/>
      <c r="K26" s="12"/>
    </row>
    <row r="27" spans="3:13" x14ac:dyDescent="0.25">
      <c r="C27" t="s">
        <v>44</v>
      </c>
      <c r="D27" s="20" t="s">
        <v>5</v>
      </c>
      <c r="E27" s="21">
        <f>E7/D7-1</f>
        <v>0.55295345483521796</v>
      </c>
      <c r="F27" s="31">
        <f>F7/E7-1</f>
        <v>0.613053532344634</v>
      </c>
      <c r="G27" s="17">
        <v>0.4</v>
      </c>
      <c r="H27" s="17">
        <v>0.3</v>
      </c>
      <c r="I27" s="17">
        <v>0.23</v>
      </c>
      <c r="J27" s="17">
        <v>0.15</v>
      </c>
      <c r="K27" s="17">
        <v>0.12</v>
      </c>
      <c r="M27" t="s">
        <v>37</v>
      </c>
    </row>
    <row r="28" spans="3:13" x14ac:dyDescent="0.25">
      <c r="C28" t="s">
        <v>34</v>
      </c>
      <c r="D28" s="21">
        <f>D9/D7</f>
        <v>0.53674233208869704</v>
      </c>
      <c r="E28" s="21">
        <f t="shared" ref="E28:F28" si="18">E9/E7</f>
        <v>0.51973746946263311</v>
      </c>
      <c r="F28" s="31">
        <f t="shared" si="18"/>
        <v>0.48937079123764576</v>
      </c>
      <c r="G28" s="17">
        <v>0.5</v>
      </c>
      <c r="H28" s="17">
        <v>0.54</v>
      </c>
      <c r="I28" s="17">
        <v>0.61</v>
      </c>
      <c r="J28" s="17">
        <v>0.63</v>
      </c>
      <c r="K28" s="17">
        <v>0.7</v>
      </c>
      <c r="M28" t="s">
        <v>39</v>
      </c>
    </row>
    <row r="29" spans="3:13" x14ac:dyDescent="0.25">
      <c r="C29" t="s">
        <v>42</v>
      </c>
      <c r="D29" s="21">
        <f>D11/D7</f>
        <v>0.34496786158798659</v>
      </c>
      <c r="E29" s="21">
        <f t="shared" ref="E29:F29" si="19">E11/E7</f>
        <v>0.30114384575564657</v>
      </c>
      <c r="F29" s="31">
        <f t="shared" si="19"/>
        <v>0.27771418437145806</v>
      </c>
      <c r="G29" s="17">
        <v>0.25</v>
      </c>
      <c r="H29" s="17">
        <v>0.2</v>
      </c>
      <c r="I29" s="17">
        <v>0.15</v>
      </c>
      <c r="J29" s="17">
        <v>0.13</v>
      </c>
      <c r="K29" s="17">
        <v>0.13</v>
      </c>
      <c r="M29" t="s">
        <v>38</v>
      </c>
    </row>
    <row r="30" spans="3:13" x14ac:dyDescent="0.25">
      <c r="C30" t="s">
        <v>43</v>
      </c>
      <c r="D30" s="21">
        <f>D12/D7</f>
        <v>0.5177290148333844</v>
      </c>
      <c r="E30" s="21">
        <f t="shared" ref="E30:F30" si="20">E12/E7</f>
        <v>0.49836869159302888</v>
      </c>
      <c r="F30" s="31">
        <f t="shared" si="20"/>
        <v>0.53383671629532847</v>
      </c>
      <c r="G30" s="17">
        <f>50%</f>
        <v>0.5</v>
      </c>
      <c r="H30" s="17">
        <v>0.31</v>
      </c>
      <c r="I30" s="17">
        <v>0.28000000000000003</v>
      </c>
      <c r="J30" s="17">
        <v>0.24</v>
      </c>
      <c r="K30" s="17">
        <v>0.2</v>
      </c>
      <c r="M30" t="s">
        <v>40</v>
      </c>
    </row>
    <row r="31" spans="3:13" x14ac:dyDescent="0.25">
      <c r="C31" t="s">
        <v>49</v>
      </c>
      <c r="D31" s="21">
        <f>D16/D7</f>
        <v>9.7340779995557389E-2</v>
      </c>
      <c r="E31" s="21">
        <f t="shared" ref="E31:F31" si="21">E16/E7</f>
        <v>8.4948370280898369E-2</v>
      </c>
      <c r="F31" s="31">
        <f t="shared" si="21"/>
        <v>9.0919295568820044E-2</v>
      </c>
      <c r="G31" s="17">
        <v>0.09</v>
      </c>
      <c r="H31" s="17">
        <v>7.0000000000000007E-2</v>
      </c>
      <c r="I31" s="17">
        <v>0.05</v>
      </c>
      <c r="J31" s="17">
        <v>0.04</v>
      </c>
      <c r="K31" s="17">
        <v>0.03</v>
      </c>
      <c r="M31" t="s">
        <v>166</v>
      </c>
    </row>
    <row r="32" spans="3:13" x14ac:dyDescent="0.25">
      <c r="C32" t="s">
        <v>35</v>
      </c>
      <c r="D32" s="22">
        <v>0.15</v>
      </c>
      <c r="E32" s="23">
        <v>0.04</v>
      </c>
      <c r="F32" s="32">
        <v>0.02</v>
      </c>
      <c r="G32" s="17">
        <v>0.06</v>
      </c>
      <c r="H32" s="17">
        <v>7.0000000000000007E-2</v>
      </c>
      <c r="I32" s="17">
        <v>0.13</v>
      </c>
      <c r="J32" s="17">
        <v>0.21</v>
      </c>
      <c r="K32" s="17">
        <v>0.21</v>
      </c>
      <c r="M32" t="s">
        <v>61</v>
      </c>
    </row>
    <row r="33" spans="3:16" x14ac:dyDescent="0.25">
      <c r="D33" s="11"/>
      <c r="E33" s="11"/>
      <c r="F33" s="11"/>
      <c r="G33" s="12"/>
      <c r="H33" s="12"/>
      <c r="I33" s="12"/>
      <c r="J33" s="12"/>
      <c r="K33" s="12"/>
    </row>
    <row r="34" spans="3:16" x14ac:dyDescent="0.25">
      <c r="D34" s="11"/>
      <c r="E34" s="11"/>
      <c r="F34" s="11"/>
      <c r="G34" s="12"/>
      <c r="H34" s="12"/>
      <c r="I34" s="12"/>
      <c r="J34" s="12"/>
      <c r="K34" s="12"/>
    </row>
    <row r="35" spans="3:16" ht="21" x14ac:dyDescent="0.35">
      <c r="C35" s="6" t="s">
        <v>50</v>
      </c>
      <c r="D35" s="6"/>
      <c r="E35" s="6"/>
      <c r="F35" s="6"/>
      <c r="G35" s="6"/>
      <c r="H35" s="6"/>
      <c r="I35" s="6"/>
      <c r="J35" s="6"/>
      <c r="K35" s="6"/>
      <c r="L35" s="6"/>
      <c r="M35" s="6"/>
      <c r="N35" s="6"/>
      <c r="O35" s="6"/>
      <c r="P35" s="6"/>
    </row>
    <row r="36" spans="3:16" x14ac:dyDescent="0.25">
      <c r="D36" t="s">
        <v>20</v>
      </c>
      <c r="E36" s="11"/>
      <c r="F36" s="11"/>
      <c r="G36" s="12"/>
      <c r="H36" s="12"/>
      <c r="I36" s="12"/>
      <c r="J36" s="12"/>
      <c r="K36" s="12"/>
    </row>
    <row r="37" spans="3:16" x14ac:dyDescent="0.25">
      <c r="D37" s="8" t="s">
        <v>10</v>
      </c>
      <c r="E37" s="8" t="s">
        <v>11</v>
      </c>
      <c r="F37" s="26" t="s">
        <v>12</v>
      </c>
      <c r="G37" s="8" t="s">
        <v>15</v>
      </c>
      <c r="H37" s="8" t="s">
        <v>16</v>
      </c>
      <c r="I37" s="8" t="s">
        <v>17</v>
      </c>
      <c r="J37" s="8" t="s">
        <v>18</v>
      </c>
      <c r="K37" s="8" t="s">
        <v>19</v>
      </c>
      <c r="M37" s="39" t="s">
        <v>36</v>
      </c>
    </row>
    <row r="38" spans="3:16" x14ac:dyDescent="0.25">
      <c r="C38" t="s">
        <v>51</v>
      </c>
      <c r="D38" s="11">
        <f>253660+1599033</f>
        <v>1852693</v>
      </c>
      <c r="E38" s="11">
        <f>933885+2105906</f>
        <v>3039791</v>
      </c>
      <c r="F38" s="38">
        <f>1479452+3878430</f>
        <v>5357882</v>
      </c>
      <c r="G38" s="54"/>
      <c r="H38" s="54"/>
      <c r="I38" s="54"/>
      <c r="J38" s="54"/>
      <c r="K38" s="54"/>
      <c r="M38" t="s">
        <v>52</v>
      </c>
    </row>
    <row r="39" spans="3:16" x14ac:dyDescent="0.25">
      <c r="C39" t="s">
        <v>53</v>
      </c>
      <c r="D39" s="11">
        <v>154067</v>
      </c>
      <c r="E39" s="11">
        <v>251167</v>
      </c>
      <c r="F39" s="27">
        <v>388215</v>
      </c>
      <c r="G39" s="54"/>
      <c r="H39" s="54"/>
      <c r="I39" s="54"/>
      <c r="J39" s="54"/>
      <c r="K39" s="54"/>
    </row>
    <row r="40" spans="3:16" x14ac:dyDescent="0.25">
      <c r="C40" t="s">
        <v>54</v>
      </c>
      <c r="D40" s="40">
        <f>54571</f>
        <v>54571</v>
      </c>
      <c r="E40" s="40">
        <f>81377</f>
        <v>81377</v>
      </c>
      <c r="F40" s="41">
        <f>186131</f>
        <v>186131</v>
      </c>
      <c r="G40" s="55"/>
      <c r="H40" s="55"/>
      <c r="I40" s="55"/>
      <c r="J40" s="55"/>
      <c r="K40" s="55"/>
    </row>
    <row r="41" spans="3:16" x14ac:dyDescent="0.25">
      <c r="C41" s="1" t="s">
        <v>1</v>
      </c>
      <c r="D41" s="35">
        <f>SUM(D38:D40)</f>
        <v>2061331</v>
      </c>
      <c r="E41" s="35">
        <f t="shared" ref="E41:K41" si="22">SUM(E38:E40)</f>
        <v>3372335</v>
      </c>
      <c r="F41" s="43">
        <f t="shared" si="22"/>
        <v>5932228</v>
      </c>
      <c r="G41" s="56">
        <f t="shared" si="22"/>
        <v>0</v>
      </c>
      <c r="H41" s="56">
        <f t="shared" si="22"/>
        <v>0</v>
      </c>
      <c r="I41" s="56">
        <f t="shared" si="22"/>
        <v>0</v>
      </c>
      <c r="J41" s="56">
        <f t="shared" si="22"/>
        <v>0</v>
      </c>
      <c r="K41" s="56">
        <f t="shared" si="22"/>
        <v>0</v>
      </c>
    </row>
    <row r="42" spans="3:16" x14ac:dyDescent="0.25">
      <c r="D42" s="13"/>
      <c r="E42" s="13"/>
      <c r="F42" s="37"/>
      <c r="G42" s="57"/>
      <c r="H42" s="57"/>
      <c r="I42" s="57"/>
      <c r="J42" s="57"/>
      <c r="K42" s="57"/>
    </row>
    <row r="43" spans="3:16" x14ac:dyDescent="0.25">
      <c r="C43" t="s">
        <v>55</v>
      </c>
      <c r="D43" s="11">
        <f>141256+156741</f>
        <v>297997</v>
      </c>
      <c r="E43" s="11">
        <f>183239+258610</f>
        <v>441849</v>
      </c>
      <c r="F43" s="27">
        <f>255316+234584</f>
        <v>489900</v>
      </c>
      <c r="G43" s="57"/>
      <c r="H43" s="57"/>
      <c r="I43" s="57"/>
      <c r="J43" s="57"/>
      <c r="K43" s="57"/>
      <c r="M43" t="s">
        <v>77</v>
      </c>
    </row>
    <row r="44" spans="3:16" x14ac:dyDescent="0.25">
      <c r="C44" t="s">
        <v>56</v>
      </c>
      <c r="D44" s="11">
        <f>460849</f>
        <v>460849</v>
      </c>
      <c r="E44" s="11">
        <f>966573</f>
        <v>966573</v>
      </c>
      <c r="F44" s="27">
        <f>1050012</f>
        <v>1050012</v>
      </c>
      <c r="G44" s="57"/>
      <c r="H44" s="57"/>
      <c r="I44" s="57"/>
      <c r="J44" s="57"/>
      <c r="K44" s="57"/>
    </row>
    <row r="45" spans="3:16" x14ac:dyDescent="0.25">
      <c r="C45" t="s">
        <v>57</v>
      </c>
      <c r="D45" s="11">
        <v>2296784</v>
      </c>
      <c r="E45" s="11">
        <v>4595394</v>
      </c>
      <c r="F45" s="27">
        <v>5263166</v>
      </c>
      <c r="G45" s="57"/>
      <c r="H45" s="57"/>
      <c r="I45" s="57"/>
      <c r="J45" s="57"/>
      <c r="K45" s="57"/>
    </row>
    <row r="46" spans="3:16" x14ac:dyDescent="0.25">
      <c r="C46" t="s">
        <v>58</v>
      </c>
      <c r="D46" s="40">
        <v>33555</v>
      </c>
      <c r="E46" s="40">
        <v>111282</v>
      </c>
      <c r="F46" s="41">
        <v>263292</v>
      </c>
      <c r="G46" s="58"/>
      <c r="H46" s="58"/>
      <c r="I46" s="58"/>
      <c r="J46" s="58"/>
      <c r="K46" s="58"/>
    </row>
    <row r="47" spans="3:16" x14ac:dyDescent="0.25">
      <c r="C47" s="1" t="s">
        <v>59</v>
      </c>
      <c r="D47" s="13">
        <f>SUM(D43:D46)</f>
        <v>3089185</v>
      </c>
      <c r="E47" s="13">
        <f>SUM(E43:E46)</f>
        <v>6115098</v>
      </c>
      <c r="F47" s="36">
        <f>SUM(F43:F46)</f>
        <v>7066370</v>
      </c>
      <c r="G47" s="57">
        <f>SUM(G43:G46)</f>
        <v>0</v>
      </c>
      <c r="H47" s="57">
        <f>SUM(H43:H46)</f>
        <v>0</v>
      </c>
      <c r="I47" s="57">
        <f>SUM(I43:I46)</f>
        <v>0</v>
      </c>
      <c r="J47" s="57">
        <f>SUM(J43:J46)</f>
        <v>0</v>
      </c>
      <c r="K47" s="57">
        <f>SUM(K43:K46)</f>
        <v>0</v>
      </c>
    </row>
    <row r="48" spans="3:16" x14ac:dyDescent="0.25">
      <c r="D48" s="13"/>
      <c r="E48" s="13"/>
      <c r="F48" s="37"/>
      <c r="G48" s="57"/>
      <c r="H48" s="57"/>
      <c r="I48" s="57"/>
      <c r="J48" s="57"/>
      <c r="K48" s="57"/>
    </row>
    <row r="49" spans="3:11" x14ac:dyDescent="0.25">
      <c r="C49" s="1" t="s">
        <v>60</v>
      </c>
      <c r="D49" s="13">
        <f>SUM(D47,D41)</f>
        <v>5150516</v>
      </c>
      <c r="E49" s="13">
        <f>SUM(E47,E41)</f>
        <v>9487433</v>
      </c>
      <c r="F49" s="37">
        <f>SUM(F47,F41)</f>
        <v>12998598</v>
      </c>
      <c r="G49" s="57">
        <f>SUM(G47,G41)</f>
        <v>0</v>
      </c>
      <c r="H49" s="57">
        <f>SUM(H47,H41)</f>
        <v>0</v>
      </c>
      <c r="I49" s="57">
        <f>SUM(I47,I41)</f>
        <v>0</v>
      </c>
      <c r="J49" s="57">
        <f>SUM(J47,J41)</f>
        <v>0</v>
      </c>
      <c r="K49" s="57">
        <f>SUM(K47,K41)</f>
        <v>0</v>
      </c>
    </row>
    <row r="50" spans="3:11" x14ac:dyDescent="0.25">
      <c r="D50" s="13"/>
      <c r="E50" s="13"/>
      <c r="F50" s="37"/>
      <c r="G50" s="57"/>
      <c r="H50" s="57"/>
      <c r="I50" s="57"/>
      <c r="J50" s="57"/>
      <c r="K50" s="57"/>
    </row>
    <row r="51" spans="3:11" x14ac:dyDescent="0.25">
      <c r="C51" s="2" t="s">
        <v>62</v>
      </c>
      <c r="D51" s="11">
        <v>39099</v>
      </c>
      <c r="E51" s="11">
        <v>60042</v>
      </c>
      <c r="F51" s="27">
        <v>93333</v>
      </c>
      <c r="G51" s="57"/>
      <c r="H51" s="57"/>
      <c r="I51" s="57"/>
      <c r="J51" s="57"/>
      <c r="K51" s="57"/>
    </row>
    <row r="52" spans="3:11" x14ac:dyDescent="0.25">
      <c r="C52" s="2" t="s">
        <v>63</v>
      </c>
      <c r="D52" s="11">
        <v>147681</v>
      </c>
      <c r="E52" s="11">
        <v>252895</v>
      </c>
      <c r="F52" s="27">
        <v>417503</v>
      </c>
      <c r="G52" s="57"/>
      <c r="H52" s="57"/>
      <c r="I52" s="57"/>
      <c r="J52" s="57"/>
      <c r="K52" s="57"/>
    </row>
    <row r="53" spans="3:11" x14ac:dyDescent="0.25">
      <c r="C53" s="2" t="s">
        <v>64</v>
      </c>
      <c r="D53" s="40">
        <f>26362+27156+6924</f>
        <v>60442</v>
      </c>
      <c r="E53" s="40">
        <f>87031+48338</f>
        <v>135369</v>
      </c>
      <c r="F53" s="41">
        <f>140389+52325</f>
        <v>192714</v>
      </c>
      <c r="G53" s="58"/>
      <c r="H53" s="58"/>
      <c r="I53" s="58"/>
      <c r="J53" s="58"/>
      <c r="K53" s="58"/>
    </row>
    <row r="54" spans="3:11" x14ac:dyDescent="0.25">
      <c r="C54" s="1" t="s">
        <v>65</v>
      </c>
      <c r="D54" s="13">
        <f>SUM(D51:D53)</f>
        <v>247222</v>
      </c>
      <c r="E54" s="13">
        <f t="shared" ref="E54:F54" si="23">SUM(E51:E53)</f>
        <v>448306</v>
      </c>
      <c r="F54" s="37">
        <f t="shared" si="23"/>
        <v>703550</v>
      </c>
      <c r="G54" s="57"/>
      <c r="H54" s="57"/>
      <c r="I54" s="57"/>
      <c r="J54" s="57"/>
      <c r="K54" s="57"/>
    </row>
    <row r="55" spans="3:11" x14ac:dyDescent="0.25">
      <c r="C55" s="1"/>
      <c r="D55" s="13"/>
      <c r="E55" s="13"/>
      <c r="F55" s="37"/>
      <c r="G55" s="57"/>
      <c r="H55" s="57"/>
      <c r="I55" s="57"/>
      <c r="J55" s="57"/>
      <c r="K55" s="57"/>
    </row>
    <row r="56" spans="3:11" x14ac:dyDescent="0.25">
      <c r="C56" s="2" t="s">
        <v>66</v>
      </c>
      <c r="D56" s="11">
        <v>458190</v>
      </c>
      <c r="E56" s="11">
        <v>302068</v>
      </c>
      <c r="F56" s="27">
        <f>985907</f>
        <v>985907</v>
      </c>
      <c r="G56" s="57"/>
      <c r="H56" s="57"/>
      <c r="I56" s="57"/>
      <c r="J56" s="57"/>
      <c r="K56" s="57"/>
    </row>
    <row r="57" spans="3:11" x14ac:dyDescent="0.25">
      <c r="C57" s="2" t="s">
        <v>71</v>
      </c>
      <c r="D57" s="40">
        <f>139200+8746+17747</f>
        <v>165693</v>
      </c>
      <c r="E57" s="40">
        <f>17856+229905+36633</f>
        <v>284394</v>
      </c>
      <c r="F57" s="41">
        <f>211253+25132+41290</f>
        <v>277675</v>
      </c>
      <c r="G57" s="58"/>
      <c r="H57" s="58"/>
      <c r="I57" s="58"/>
      <c r="J57" s="58"/>
      <c r="K57" s="58"/>
    </row>
    <row r="58" spans="3:11" x14ac:dyDescent="0.25">
      <c r="C58" s="2" t="s">
        <v>68</v>
      </c>
      <c r="D58" s="13">
        <f>SUM(D56:D57)</f>
        <v>623883</v>
      </c>
      <c r="E58" s="13">
        <f>SUM(E56:E57)</f>
        <v>586462</v>
      </c>
      <c r="F58" s="36">
        <f>SUM(F56:F57)</f>
        <v>1263582</v>
      </c>
      <c r="G58" s="57">
        <f t="shared" ref="E58:K58" si="24">SUM(G56:G57)</f>
        <v>0</v>
      </c>
      <c r="H58" s="57">
        <f t="shared" si="24"/>
        <v>0</v>
      </c>
      <c r="I58" s="57">
        <f t="shared" si="24"/>
        <v>0</v>
      </c>
      <c r="J58" s="57">
        <f t="shared" si="24"/>
        <v>0</v>
      </c>
      <c r="K58" s="57">
        <f t="shared" si="24"/>
        <v>0</v>
      </c>
    </row>
    <row r="59" spans="3:11" x14ac:dyDescent="0.25">
      <c r="F59" s="44"/>
      <c r="G59" s="57"/>
      <c r="H59" s="57"/>
      <c r="I59" s="57"/>
      <c r="J59" s="57"/>
      <c r="K59" s="57"/>
    </row>
    <row r="60" spans="3:11" x14ac:dyDescent="0.25">
      <c r="C60" s="1" t="s">
        <v>67</v>
      </c>
      <c r="D60" s="13">
        <f>SUM(D58,D54)</f>
        <v>871105</v>
      </c>
      <c r="E60" s="13">
        <f>SUM(E58,E54)</f>
        <v>1034768</v>
      </c>
      <c r="F60" s="37">
        <f>SUM(F58,F54)</f>
        <v>1967132</v>
      </c>
      <c r="G60" s="57">
        <f t="shared" ref="G60:K60" si="25">SUM(G58,G54)</f>
        <v>0</v>
      </c>
      <c r="H60" s="57">
        <f t="shared" si="25"/>
        <v>0</v>
      </c>
      <c r="I60" s="57">
        <f t="shared" si="25"/>
        <v>0</v>
      </c>
      <c r="J60" s="57">
        <f t="shared" si="25"/>
        <v>0</v>
      </c>
      <c r="K60" s="57">
        <f t="shared" si="25"/>
        <v>0</v>
      </c>
    </row>
    <row r="61" spans="3:11" x14ac:dyDescent="0.25">
      <c r="D61" s="13"/>
      <c r="E61" s="13"/>
      <c r="F61" s="37"/>
      <c r="G61" s="57"/>
      <c r="H61" s="57"/>
      <c r="I61" s="57"/>
      <c r="J61" s="57"/>
      <c r="K61" s="57"/>
    </row>
    <row r="62" spans="3:11" x14ac:dyDescent="0.25">
      <c r="C62" s="1" t="s">
        <v>69</v>
      </c>
      <c r="D62" s="42">
        <v>4279411</v>
      </c>
      <c r="E62" s="42">
        <v>8452665</v>
      </c>
      <c r="F62" s="60">
        <v>11031466</v>
      </c>
      <c r="G62" s="58"/>
      <c r="H62" s="58"/>
      <c r="I62" s="58"/>
      <c r="J62" s="58"/>
      <c r="K62" s="58"/>
    </row>
    <row r="63" spans="3:11" x14ac:dyDescent="0.25">
      <c r="D63" s="45"/>
      <c r="E63" s="45"/>
      <c r="F63" s="53"/>
      <c r="G63" s="57"/>
      <c r="H63" s="57"/>
      <c r="I63" s="57"/>
      <c r="J63" s="57"/>
      <c r="K63" s="57"/>
    </row>
    <row r="64" spans="3:11" x14ac:dyDescent="0.25">
      <c r="C64" s="1" t="s">
        <v>70</v>
      </c>
      <c r="D64" s="13">
        <f>SUM(D62,D60)</f>
        <v>5150516</v>
      </c>
      <c r="E64" s="13">
        <f t="shared" ref="E64:K64" si="26">SUM(E62,E60)</f>
        <v>9487433</v>
      </c>
      <c r="F64" s="37">
        <f t="shared" si="26"/>
        <v>12998598</v>
      </c>
      <c r="G64" s="57">
        <f t="shared" si="26"/>
        <v>0</v>
      </c>
      <c r="H64" s="57">
        <f t="shared" si="26"/>
        <v>0</v>
      </c>
      <c r="I64" s="57">
        <f t="shared" si="26"/>
        <v>0</v>
      </c>
      <c r="J64" s="57">
        <f t="shared" si="26"/>
        <v>0</v>
      </c>
      <c r="K64" s="57">
        <f t="shared" si="26"/>
        <v>0</v>
      </c>
    </row>
    <row r="65" spans="3:16" x14ac:dyDescent="0.25">
      <c r="C65" s="7" t="s">
        <v>72</v>
      </c>
      <c r="D65" s="13">
        <f>D49-D64</f>
        <v>0</v>
      </c>
      <c r="E65" s="13">
        <f t="shared" ref="E65:K65" si="27">E49-E64</f>
        <v>0</v>
      </c>
      <c r="F65" s="37">
        <f t="shared" si="27"/>
        <v>0</v>
      </c>
      <c r="G65" s="57">
        <f t="shared" si="27"/>
        <v>0</v>
      </c>
      <c r="H65" s="57">
        <f t="shared" si="27"/>
        <v>0</v>
      </c>
      <c r="I65" s="57">
        <f t="shared" si="27"/>
        <v>0</v>
      </c>
      <c r="J65" s="57">
        <f t="shared" si="27"/>
        <v>0</v>
      </c>
      <c r="K65" s="57">
        <f t="shared" si="27"/>
        <v>0</v>
      </c>
    </row>
    <row r="66" spans="3:16" x14ac:dyDescent="0.25">
      <c r="D66" s="13"/>
      <c r="E66" s="13"/>
      <c r="F66" s="13"/>
      <c r="G66" s="13"/>
      <c r="H66" s="13"/>
      <c r="I66" s="13"/>
      <c r="J66" s="13"/>
      <c r="K66" s="13"/>
    </row>
    <row r="67" spans="3:16" ht="21" x14ac:dyDescent="0.35">
      <c r="C67" s="6" t="s">
        <v>78</v>
      </c>
      <c r="D67" s="6"/>
      <c r="E67" s="6"/>
      <c r="F67" s="6"/>
      <c r="G67" s="6"/>
      <c r="H67" s="6"/>
      <c r="I67" s="6"/>
      <c r="J67" s="6"/>
      <c r="K67" s="6"/>
      <c r="L67" s="6"/>
      <c r="M67" s="6"/>
      <c r="N67" s="6"/>
      <c r="O67" s="6"/>
      <c r="P67" s="6"/>
    </row>
    <row r="68" spans="3:16" x14ac:dyDescent="0.25">
      <c r="D68" t="s">
        <v>20</v>
      </c>
      <c r="E68" s="11"/>
      <c r="F68" s="11"/>
      <c r="G68" s="12"/>
      <c r="H68" s="12"/>
      <c r="I68" s="12"/>
      <c r="J68" s="12"/>
      <c r="K68" s="12"/>
    </row>
    <row r="69" spans="3:16" x14ac:dyDescent="0.25">
      <c r="D69" s="8" t="s">
        <v>10</v>
      </c>
      <c r="E69" s="8" t="s">
        <v>11</v>
      </c>
      <c r="F69" s="26" t="s">
        <v>12</v>
      </c>
      <c r="G69" s="8" t="s">
        <v>15</v>
      </c>
      <c r="H69" s="8" t="s">
        <v>16</v>
      </c>
      <c r="I69" s="8" t="s">
        <v>17</v>
      </c>
      <c r="J69" s="8" t="s">
        <v>18</v>
      </c>
      <c r="K69" s="8" t="s">
        <v>19</v>
      </c>
      <c r="M69" s="25" t="s">
        <v>36</v>
      </c>
    </row>
    <row r="70" spans="3:16" x14ac:dyDescent="0.25">
      <c r="C70" t="s">
        <v>1</v>
      </c>
      <c r="D70" s="11">
        <f>D41</f>
        <v>2061331</v>
      </c>
      <c r="E70" s="11">
        <f>E41</f>
        <v>3372335</v>
      </c>
      <c r="F70" s="38">
        <f>F41</f>
        <v>5932228</v>
      </c>
      <c r="G70" s="57"/>
      <c r="H70" s="57"/>
      <c r="I70" s="57"/>
      <c r="J70" s="57"/>
      <c r="K70" s="57"/>
    </row>
    <row r="71" spans="3:16" x14ac:dyDescent="0.25">
      <c r="C71" t="s">
        <v>51</v>
      </c>
      <c r="D71" s="11">
        <f>D38</f>
        <v>1852693</v>
      </c>
      <c r="E71" s="11">
        <f>E38</f>
        <v>3039791</v>
      </c>
      <c r="F71" s="27">
        <f>F38</f>
        <v>5357882</v>
      </c>
      <c r="G71" s="57"/>
      <c r="H71" s="57"/>
      <c r="I71" s="57"/>
      <c r="J71" s="57"/>
      <c r="K71" s="57"/>
    </row>
    <row r="72" spans="3:16" x14ac:dyDescent="0.25">
      <c r="C72" t="s">
        <v>65</v>
      </c>
      <c r="D72" s="11">
        <f>D54</f>
        <v>247222</v>
      </c>
      <c r="E72" s="11">
        <f t="shared" ref="E72:F72" si="28">E54</f>
        <v>448306</v>
      </c>
      <c r="F72" s="27">
        <f t="shared" si="28"/>
        <v>703550</v>
      </c>
      <c r="G72" s="57"/>
      <c r="H72" s="57"/>
      <c r="I72" s="57"/>
      <c r="J72" s="57"/>
      <c r="K72" s="57"/>
    </row>
    <row r="73" spans="3:16" x14ac:dyDescent="0.25">
      <c r="C73" s="46" t="s">
        <v>73</v>
      </c>
      <c r="D73" s="40">
        <v>0</v>
      </c>
      <c r="E73" s="40">
        <v>0</v>
      </c>
      <c r="F73" s="41">
        <v>0</v>
      </c>
      <c r="G73" s="59"/>
      <c r="H73" s="58"/>
      <c r="I73" s="58"/>
      <c r="J73" s="58"/>
      <c r="K73" s="58"/>
    </row>
    <row r="74" spans="3:16" x14ac:dyDescent="0.25">
      <c r="C74" s="1" t="s">
        <v>74</v>
      </c>
      <c r="D74" s="13">
        <f>D70-D71-D72-D73</f>
        <v>-38584</v>
      </c>
      <c r="E74" s="13">
        <f t="shared" ref="E74:F74" si="29">E70-E71-E72-E73</f>
        <v>-115762</v>
      </c>
      <c r="F74" s="37">
        <f t="shared" si="29"/>
        <v>-129204</v>
      </c>
      <c r="G74" s="13">
        <f>G77*G7</f>
        <v>-192540.65106065583</v>
      </c>
      <c r="H74" s="13">
        <f>H77*H7</f>
        <v>-250302.84637885258</v>
      </c>
      <c r="I74" s="13">
        <f>I77*I7</f>
        <v>-307872.5010459887</v>
      </c>
      <c r="J74" s="13">
        <f>J77*J7</f>
        <v>-354053.37620288698</v>
      </c>
      <c r="K74" s="13">
        <f>K77*K7</f>
        <v>-396539.78134723345</v>
      </c>
    </row>
    <row r="75" spans="3:16" x14ac:dyDescent="0.25">
      <c r="C75" s="52" t="s">
        <v>75</v>
      </c>
      <c r="D75" s="13"/>
      <c r="E75" s="13">
        <f>E74-D74</f>
        <v>-77178</v>
      </c>
      <c r="F75" s="37">
        <f t="shared" ref="F75:K75" si="30">F74-E74</f>
        <v>-13442</v>
      </c>
      <c r="G75" s="13">
        <f t="shared" si="30"/>
        <v>-63336.651060655829</v>
      </c>
      <c r="H75" s="13">
        <f t="shared" si="30"/>
        <v>-57762.195318196755</v>
      </c>
      <c r="I75" s="13">
        <f t="shared" si="30"/>
        <v>-57569.654667136114</v>
      </c>
      <c r="J75" s="13">
        <f t="shared" si="30"/>
        <v>-46180.875156898284</v>
      </c>
      <c r="K75" s="13">
        <f t="shared" si="30"/>
        <v>-42486.40514434647</v>
      </c>
    </row>
    <row r="76" spans="3:16" x14ac:dyDescent="0.25">
      <c r="F76" s="44"/>
      <c r="K76" s="51"/>
    </row>
    <row r="77" spans="3:16" x14ac:dyDescent="0.25">
      <c r="C77" t="s">
        <v>95</v>
      </c>
      <c r="D77" s="48">
        <f>D74/D7</f>
        <v>-3.4010655214602795E-2</v>
      </c>
      <c r="E77" s="48">
        <f>E74/E7</f>
        <v>-6.570755873618439E-2</v>
      </c>
      <c r="F77" s="49">
        <f>F74/F7</f>
        <v>-4.5464926056683716E-2</v>
      </c>
      <c r="G77" s="51">
        <v>-4.83943800024903E-2</v>
      </c>
      <c r="H77" s="51">
        <v>-4.83943800024903E-2</v>
      </c>
      <c r="I77" s="51">
        <v>-4.83943800024903E-2</v>
      </c>
      <c r="J77" s="51">
        <v>-4.83943800024903E-2</v>
      </c>
      <c r="K77" s="51">
        <v>-4.83943800024903E-2</v>
      </c>
      <c r="M77" t="s">
        <v>84</v>
      </c>
    </row>
    <row r="78" spans="3:16" x14ac:dyDescent="0.25">
      <c r="D78" s="48"/>
      <c r="E78" s="10"/>
      <c r="F78" s="47"/>
      <c r="G78" s="10"/>
      <c r="H78" s="10"/>
      <c r="I78" s="10"/>
      <c r="J78" s="10"/>
      <c r="K78" s="10"/>
    </row>
    <row r="79" spans="3:16" x14ac:dyDescent="0.25">
      <c r="D79" s="10"/>
      <c r="E79" s="10"/>
      <c r="F79" s="50"/>
      <c r="G79" s="50"/>
      <c r="H79" s="10"/>
      <c r="I79" s="10"/>
      <c r="J79" s="10"/>
      <c r="K79" s="10"/>
    </row>
    <row r="80" spans="3:16" ht="21" x14ac:dyDescent="0.35">
      <c r="C80" s="6" t="s">
        <v>79</v>
      </c>
      <c r="D80" s="6"/>
      <c r="E80" s="6"/>
      <c r="F80" s="6"/>
      <c r="G80" s="6"/>
      <c r="H80" s="6"/>
      <c r="I80" s="6"/>
      <c r="J80" s="6"/>
      <c r="K80" s="6"/>
      <c r="L80" s="6"/>
      <c r="M80" s="6"/>
      <c r="N80" s="6"/>
      <c r="O80" s="6"/>
      <c r="P80" s="6"/>
    </row>
    <row r="81" spans="3:13" x14ac:dyDescent="0.25">
      <c r="D81" s="3"/>
      <c r="E81" s="3"/>
      <c r="F81" s="3"/>
      <c r="G81" s="3"/>
      <c r="H81" s="3"/>
      <c r="I81" s="3"/>
      <c r="J81" s="3"/>
      <c r="K81" s="3"/>
    </row>
    <row r="82" spans="3:13" x14ac:dyDescent="0.25">
      <c r="D82" s="8" t="s">
        <v>10</v>
      </c>
      <c r="E82" s="8" t="s">
        <v>11</v>
      </c>
      <c r="F82" s="26" t="s">
        <v>12</v>
      </c>
      <c r="G82" s="8" t="s">
        <v>15</v>
      </c>
      <c r="H82" s="8" t="s">
        <v>16</v>
      </c>
      <c r="I82" s="8" t="s">
        <v>17</v>
      </c>
      <c r="J82" s="8" t="s">
        <v>18</v>
      </c>
      <c r="K82" s="8" t="s">
        <v>19</v>
      </c>
      <c r="M82" s="25" t="s">
        <v>36</v>
      </c>
    </row>
    <row r="83" spans="3:13" x14ac:dyDescent="0.25">
      <c r="C83" t="s">
        <v>31</v>
      </c>
      <c r="D83" s="61">
        <v>-307063</v>
      </c>
      <c r="E83" s="61">
        <v>-490979</v>
      </c>
      <c r="F83" s="63">
        <v>-949900</v>
      </c>
      <c r="G83" s="67">
        <f>G24</f>
        <v>-38194.316160000046</v>
      </c>
      <c r="H83" s="67">
        <f t="shared" ref="H83:K83" si="31">H24</f>
        <v>36205.028860000079</v>
      </c>
      <c r="I83" s="67">
        <f t="shared" si="31"/>
        <v>190216.04948345991</v>
      </c>
      <c r="J83" s="67">
        <f t="shared" si="31"/>
        <v>460908.11990222987</v>
      </c>
      <c r="K83" s="67">
        <f t="shared" si="31"/>
        <v>688289.45905399648</v>
      </c>
    </row>
    <row r="84" spans="3:13" x14ac:dyDescent="0.25">
      <c r="C84" t="s">
        <v>26</v>
      </c>
      <c r="D84" s="61">
        <f>110430</f>
        <v>110430</v>
      </c>
      <c r="E84" s="61">
        <v>149660</v>
      </c>
      <c r="F84" s="64">
        <v>258378</v>
      </c>
      <c r="G84" s="67">
        <f>G16</f>
        <v>358071.71399999998</v>
      </c>
      <c r="H84" s="67">
        <f t="shared" ref="H84:K84" si="32">H16</f>
        <v>362050.28860000003</v>
      </c>
      <c r="I84" s="67">
        <f t="shared" si="32"/>
        <v>318087.03927000001</v>
      </c>
      <c r="J84" s="67">
        <f t="shared" si="32"/>
        <v>292640.07612839999</v>
      </c>
      <c r="K84" s="67">
        <f t="shared" si="32"/>
        <v>245817.663947856</v>
      </c>
    </row>
    <row r="85" spans="3:13" x14ac:dyDescent="0.25">
      <c r="C85" t="s">
        <v>85</v>
      </c>
      <c r="D85" s="61">
        <v>-51357</v>
      </c>
      <c r="E85" s="61">
        <v>-81303</v>
      </c>
      <c r="F85" s="64">
        <v>-117943</v>
      </c>
      <c r="G85" s="67"/>
      <c r="H85" s="67"/>
      <c r="I85" s="67"/>
      <c r="J85" s="67"/>
      <c r="K85" s="67"/>
    </row>
    <row r="86" spans="3:13" x14ac:dyDescent="0.25">
      <c r="C86" t="s">
        <v>87</v>
      </c>
      <c r="D86" s="61">
        <v>-55745</v>
      </c>
      <c r="E86" s="61">
        <v>-16459</v>
      </c>
      <c r="F86" s="64">
        <v>-17236</v>
      </c>
      <c r="G86" s="67"/>
      <c r="H86" s="67"/>
      <c r="I86" s="67"/>
      <c r="J86" s="67"/>
      <c r="K86" s="67"/>
    </row>
    <row r="87" spans="3:13" x14ac:dyDescent="0.25">
      <c r="C87" t="s">
        <v>86</v>
      </c>
      <c r="D87" s="62">
        <f>D88-SUM(D83:D86)</f>
        <v>317783</v>
      </c>
      <c r="E87" s="62">
        <f t="shared" ref="E87:F87" si="33">E88-SUM(E83:E86)</f>
        <v>471735</v>
      </c>
      <c r="F87" s="65">
        <f t="shared" si="33"/>
        <v>768509</v>
      </c>
      <c r="G87" s="68"/>
      <c r="H87" s="68"/>
      <c r="I87" s="68"/>
      <c r="J87" s="68"/>
      <c r="K87" s="68"/>
    </row>
    <row r="88" spans="3:13" x14ac:dyDescent="0.25">
      <c r="C88" s="1" t="s">
        <v>80</v>
      </c>
      <c r="D88" s="45">
        <v>14048</v>
      </c>
      <c r="E88" s="45">
        <v>32654</v>
      </c>
      <c r="F88" s="53">
        <v>-58192</v>
      </c>
      <c r="G88" s="67"/>
      <c r="H88" s="67"/>
      <c r="I88" s="67"/>
      <c r="J88" s="67"/>
      <c r="K88" s="67"/>
    </row>
    <row r="89" spans="3:13" x14ac:dyDescent="0.25">
      <c r="D89" s="45"/>
      <c r="E89" s="45"/>
      <c r="F89" s="53"/>
      <c r="G89" s="67"/>
      <c r="H89" s="67"/>
      <c r="I89" s="67"/>
      <c r="J89" s="67"/>
      <c r="K89" s="67"/>
    </row>
    <row r="90" spans="3:13" x14ac:dyDescent="0.25">
      <c r="C90" t="s">
        <v>88</v>
      </c>
      <c r="D90" s="61">
        <v>122749</v>
      </c>
      <c r="E90" s="61">
        <v>-333591</v>
      </c>
      <c r="F90" s="64">
        <v>-491522</v>
      </c>
      <c r="G90" s="67"/>
      <c r="H90" s="67"/>
      <c r="I90" s="67"/>
      <c r="J90" s="67"/>
      <c r="K90" s="67"/>
    </row>
    <row r="91" spans="3:13" x14ac:dyDescent="0.25">
      <c r="C91" t="s">
        <v>76</v>
      </c>
      <c r="D91" s="61">
        <v>-45368</v>
      </c>
      <c r="E91" s="61">
        <v>-25805</v>
      </c>
      <c r="F91" s="64">
        <v>-46048</v>
      </c>
      <c r="G91" s="69">
        <f>G101*G7</f>
        <v>51721.469799999992</v>
      </c>
      <c r="H91" s="69">
        <f t="shared" ref="H91:K91" si="34">H101*H7</f>
        <v>56893.616779999989</v>
      </c>
      <c r="I91" s="69">
        <f t="shared" si="34"/>
        <v>63617.407853999997</v>
      </c>
      <c r="J91" s="69">
        <f t="shared" si="34"/>
        <v>212164.05519309</v>
      </c>
      <c r="K91" s="69">
        <f t="shared" si="34"/>
        <v>254011.5860794512</v>
      </c>
    </row>
    <row r="92" spans="3:13" x14ac:dyDescent="0.25">
      <c r="C92" t="s">
        <v>86</v>
      </c>
      <c r="D92" s="62">
        <f>D93-SUM(D90:D91)</f>
        <v>-1363173</v>
      </c>
      <c r="E92" s="62">
        <f t="shared" ref="E92:F92" si="35">E93-SUM(E90:E91)</f>
        <v>-486459</v>
      </c>
      <c r="F92" s="65">
        <f t="shared" si="35"/>
        <v>-1952426</v>
      </c>
      <c r="G92" s="68"/>
      <c r="H92" s="68"/>
      <c r="I92" s="68"/>
      <c r="J92" s="68"/>
      <c r="K92" s="68"/>
    </row>
    <row r="93" spans="3:13" x14ac:dyDescent="0.25">
      <c r="C93" s="1" t="s">
        <v>89</v>
      </c>
      <c r="D93" s="45">
        <v>-1285792</v>
      </c>
      <c r="E93" s="45">
        <v>-845855</v>
      </c>
      <c r="F93" s="53">
        <v>-2489996</v>
      </c>
      <c r="G93" s="67"/>
      <c r="H93" s="67"/>
      <c r="I93" s="67"/>
      <c r="J93" s="67"/>
      <c r="K93" s="67"/>
    </row>
    <row r="94" spans="3:13" x14ac:dyDescent="0.25">
      <c r="D94" s="45"/>
      <c r="E94" s="45"/>
      <c r="F94" s="53"/>
      <c r="G94" s="67"/>
      <c r="H94" s="67"/>
      <c r="I94" s="67"/>
      <c r="J94" s="67"/>
      <c r="K94" s="67"/>
    </row>
    <row r="95" spans="3:13" x14ac:dyDescent="0.25">
      <c r="C95" t="s">
        <v>90</v>
      </c>
      <c r="D95" s="61">
        <v>979123</v>
      </c>
      <c r="E95" s="61">
        <v>1408113</v>
      </c>
      <c r="F95" s="64">
        <v>1765713</v>
      </c>
      <c r="G95" s="67"/>
      <c r="H95" s="67"/>
      <c r="I95" s="67"/>
      <c r="J95" s="67"/>
      <c r="K95" s="67"/>
    </row>
    <row r="96" spans="3:13" x14ac:dyDescent="0.25">
      <c r="C96" t="s">
        <v>91</v>
      </c>
      <c r="D96" s="66" t="s">
        <v>5</v>
      </c>
      <c r="E96" s="66" t="s">
        <v>5</v>
      </c>
      <c r="F96" s="64">
        <v>987500</v>
      </c>
      <c r="G96" s="67"/>
      <c r="H96" s="67"/>
      <c r="I96" s="67"/>
      <c r="J96" s="67"/>
      <c r="K96" s="67"/>
    </row>
    <row r="97" spans="3:13" x14ac:dyDescent="0.25">
      <c r="C97" t="s">
        <v>92</v>
      </c>
      <c r="D97" s="61">
        <v>-11046</v>
      </c>
      <c r="E97" s="61">
        <v>-10784</v>
      </c>
      <c r="F97" s="64">
        <v>-8295</v>
      </c>
      <c r="G97" s="67"/>
      <c r="H97" s="67"/>
      <c r="I97" s="67"/>
      <c r="J97" s="67"/>
      <c r="K97" s="67"/>
    </row>
    <row r="98" spans="3:13" x14ac:dyDescent="0.25">
      <c r="C98" t="s">
        <v>86</v>
      </c>
      <c r="D98" s="62">
        <f>D99-SUM(D95:D97)</f>
        <v>52068</v>
      </c>
      <c r="E98" s="62">
        <f t="shared" ref="E98:F98" si="36">E99-SUM(E95:E97)</f>
        <v>95982</v>
      </c>
      <c r="F98" s="65">
        <f t="shared" si="36"/>
        <v>351407</v>
      </c>
      <c r="G98" s="68"/>
      <c r="H98" s="68"/>
      <c r="I98" s="68"/>
      <c r="J98" s="68"/>
      <c r="K98" s="68"/>
    </row>
    <row r="99" spans="3:13" x14ac:dyDescent="0.25">
      <c r="C99" s="1" t="s">
        <v>93</v>
      </c>
      <c r="D99" s="45">
        <f>1020145</f>
        <v>1020145</v>
      </c>
      <c r="E99" s="45">
        <f>1493311</f>
        <v>1493311</v>
      </c>
      <c r="F99" s="53">
        <f>3096325</f>
        <v>3096325</v>
      </c>
      <c r="G99" s="67"/>
      <c r="H99" s="67"/>
      <c r="I99" s="67"/>
      <c r="J99" s="67"/>
      <c r="K99" s="67"/>
    </row>
    <row r="100" spans="3:13" x14ac:dyDescent="0.25">
      <c r="D100" s="45"/>
      <c r="E100" s="45"/>
      <c r="F100" s="53"/>
      <c r="G100" s="67"/>
      <c r="H100" s="67"/>
      <c r="I100" s="67"/>
      <c r="J100" s="67"/>
      <c r="K100" s="67"/>
    </row>
    <row r="101" spans="3:13" x14ac:dyDescent="0.25">
      <c r="C101" t="s">
        <v>94</v>
      </c>
      <c r="D101" s="70">
        <f>-D91/D7</f>
        <v>3.9990550636950534E-2</v>
      </c>
      <c r="E101" s="70">
        <f t="shared" ref="E101:G101" si="37">-E91/E7</f>
        <v>1.4647151510748245E-2</v>
      </c>
      <c r="F101" s="71">
        <f t="shared" si="37"/>
        <v>1.6203592110601621E-2</v>
      </c>
      <c r="G101" s="70">
        <v>1.2999999999999999E-2</v>
      </c>
      <c r="H101" s="70">
        <v>1.0999999999999999E-2</v>
      </c>
      <c r="I101" s="70">
        <v>0.01</v>
      </c>
      <c r="J101" s="70">
        <v>2.9000000000000001E-2</v>
      </c>
      <c r="K101" s="70">
        <v>3.1E-2</v>
      </c>
      <c r="M101" t="s">
        <v>96</v>
      </c>
    </row>
    <row r="102" spans="3:13" x14ac:dyDescent="0.25">
      <c r="D102" s="45"/>
      <c r="E102" s="45"/>
      <c r="F102" s="53"/>
      <c r="G102" s="67"/>
      <c r="H102" s="67"/>
      <c r="I102" s="67"/>
      <c r="J102" s="67"/>
      <c r="K102" s="67"/>
    </row>
    <row r="103" spans="3:13" x14ac:dyDescent="0.25">
      <c r="D103" s="45"/>
      <c r="E103" s="45"/>
      <c r="F103" s="45"/>
      <c r="G103" s="45"/>
      <c r="H103" s="45"/>
      <c r="I103" s="45"/>
      <c r="J103" s="45"/>
      <c r="K103" s="45"/>
    </row>
    <row r="104" spans="3:13" x14ac:dyDescent="0.25">
      <c r="D104" s="45"/>
      <c r="E104" s="45"/>
      <c r="F104" s="45"/>
      <c r="G104" s="45"/>
      <c r="H104" s="45"/>
      <c r="I104" s="45"/>
      <c r="J104" s="45"/>
      <c r="K104" s="45"/>
    </row>
    <row r="105" spans="3:13" x14ac:dyDescent="0.25">
      <c r="D105" s="45"/>
      <c r="E105" s="45"/>
      <c r="F105" s="45"/>
      <c r="G105" s="45"/>
      <c r="H105" s="45"/>
      <c r="I105" s="45"/>
      <c r="J105" s="45"/>
      <c r="K105" s="45"/>
    </row>
    <row r="106" spans="3:13" x14ac:dyDescent="0.25">
      <c r="D106" s="45"/>
      <c r="E106" s="45"/>
      <c r="F106" s="45"/>
      <c r="G106" s="45"/>
      <c r="H106" s="45"/>
      <c r="I106" s="45"/>
      <c r="J106" s="45"/>
      <c r="K106" s="45"/>
    </row>
    <row r="107" spans="3:13" x14ac:dyDescent="0.25">
      <c r="D107" s="45"/>
      <c r="E107" s="45"/>
      <c r="F107" s="45"/>
      <c r="G107" s="45"/>
      <c r="H107" s="45"/>
      <c r="I107" s="45"/>
      <c r="J107" s="45"/>
      <c r="K107" s="45"/>
    </row>
    <row r="108" spans="3:13" x14ac:dyDescent="0.25">
      <c r="D108" s="45"/>
      <c r="E108" s="45"/>
      <c r="F108" s="45"/>
      <c r="G108" s="45"/>
      <c r="H108" s="45"/>
      <c r="I108" s="45"/>
      <c r="J108" s="45"/>
      <c r="K108" s="45"/>
    </row>
    <row r="109" spans="3:13" x14ac:dyDescent="0.25">
      <c r="D109" s="45"/>
      <c r="E109" s="45"/>
      <c r="F109" s="45"/>
      <c r="G109" s="45"/>
      <c r="H109" s="45"/>
      <c r="I109" s="45"/>
      <c r="J109" s="45"/>
      <c r="K109" s="45"/>
    </row>
    <row r="110" spans="3:13" x14ac:dyDescent="0.25">
      <c r="D110" s="45"/>
      <c r="E110" s="45"/>
      <c r="F110" s="45"/>
      <c r="G110" s="45"/>
      <c r="H110" s="45"/>
      <c r="I110" s="45"/>
      <c r="J110" s="45"/>
      <c r="K110" s="45"/>
    </row>
  </sheetData>
  <mergeCells count="4">
    <mergeCell ref="C4:P4"/>
    <mergeCell ref="C35:P35"/>
    <mergeCell ref="C67:P67"/>
    <mergeCell ref="C80:P8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31D73-E62E-44BE-B15E-A4EB011E5D8D}">
  <dimension ref="D6:Y32"/>
  <sheetViews>
    <sheetView showGridLines="0" topLeftCell="B1" workbookViewId="0">
      <selection activeCell="M30" sqref="M30"/>
    </sheetView>
  </sheetViews>
  <sheetFormatPr defaultRowHeight="15" x14ac:dyDescent="0.25"/>
  <cols>
    <col min="4" max="4" width="21.140625" customWidth="1"/>
    <col min="5" max="5" width="14.28515625" customWidth="1"/>
    <col min="6" max="6" width="10.140625" bestFit="1" customWidth="1"/>
    <col min="17" max="17" width="18.28515625" customWidth="1"/>
    <col min="18" max="18" width="14.85546875" customWidth="1"/>
    <col min="19" max="19" width="13.7109375" customWidth="1"/>
    <col min="20" max="20" width="12.5703125" customWidth="1"/>
    <col min="21" max="21" width="14.85546875" customWidth="1"/>
  </cols>
  <sheetData>
    <row r="6" spans="4:25" ht="21" x14ac:dyDescent="0.35">
      <c r="D6" s="6" t="s">
        <v>119</v>
      </c>
      <c r="E6" s="6"/>
      <c r="F6" s="6"/>
      <c r="G6" s="6"/>
      <c r="H6" s="6"/>
      <c r="I6" s="6"/>
      <c r="J6" s="6"/>
      <c r="K6" s="6"/>
      <c r="L6" s="6"/>
      <c r="M6" s="86"/>
      <c r="N6" s="86"/>
      <c r="O6" s="86"/>
      <c r="P6" s="86"/>
      <c r="Q6" s="6" t="s">
        <v>132</v>
      </c>
      <c r="R6" s="6"/>
      <c r="S6" s="6"/>
      <c r="T6" s="6"/>
      <c r="U6" s="6"/>
      <c r="V6" s="6"/>
      <c r="W6" s="86"/>
      <c r="X6" s="86"/>
      <c r="Y6" s="86"/>
    </row>
    <row r="8" spans="4:25" ht="21" x14ac:dyDescent="0.35">
      <c r="D8" s="1"/>
      <c r="E8" s="8" t="s">
        <v>113</v>
      </c>
      <c r="F8" s="8" t="s">
        <v>114</v>
      </c>
      <c r="G8" s="46"/>
      <c r="H8" s="46" t="s">
        <v>117</v>
      </c>
      <c r="Q8" s="86"/>
      <c r="S8" t="s">
        <v>129</v>
      </c>
    </row>
    <row r="9" spans="4:25" x14ac:dyDescent="0.25">
      <c r="D9" t="s">
        <v>99</v>
      </c>
      <c r="E9" s="83">
        <f>R27</f>
        <v>1.5363066867087292</v>
      </c>
      <c r="F9" s="83">
        <f>S27</f>
        <v>1.7557790705242622</v>
      </c>
      <c r="Q9" s="85"/>
      <c r="R9" s="81" t="s">
        <v>105</v>
      </c>
      <c r="S9" s="81" t="s">
        <v>109</v>
      </c>
      <c r="T9" s="81" t="s">
        <v>107</v>
      </c>
      <c r="U9" s="81" t="s">
        <v>108</v>
      </c>
    </row>
    <row r="10" spans="4:25" x14ac:dyDescent="0.25">
      <c r="D10" s="2" t="s">
        <v>116</v>
      </c>
      <c r="E10" s="70">
        <v>2.9340000000000001E-2</v>
      </c>
      <c r="F10" s="70">
        <v>3.27E-2</v>
      </c>
      <c r="H10" t="s">
        <v>118</v>
      </c>
      <c r="Q10" s="85" t="s">
        <v>100</v>
      </c>
      <c r="R10">
        <v>0.61</v>
      </c>
      <c r="S10" s="70">
        <f>(436109+36004)/617721</f>
        <v>0.76428193310572246</v>
      </c>
      <c r="T10" s="82">
        <v>0.21</v>
      </c>
      <c r="U10" s="83">
        <f>R10/(1+(1-T10)*S10)</f>
        <v>0.38035077300193931</v>
      </c>
    </row>
    <row r="11" spans="4:25" x14ac:dyDescent="0.25">
      <c r="D11" s="2" t="s">
        <v>120</v>
      </c>
      <c r="E11" s="70">
        <v>4.2000000000000003E-2</v>
      </c>
      <c r="F11" s="70">
        <v>4.2000000000000003E-2</v>
      </c>
      <c r="Q11" s="85" t="s">
        <v>101</v>
      </c>
      <c r="R11">
        <v>0.71</v>
      </c>
      <c r="S11" s="70">
        <f>486440/412595</f>
        <v>1.1789769628812758</v>
      </c>
      <c r="T11" s="82">
        <v>0.21</v>
      </c>
      <c r="U11" s="83">
        <f t="shared" ref="U11:U15" si="0">R11/(1+(1-T11)*S11)</f>
        <v>0.36761054890645117</v>
      </c>
    </row>
    <row r="12" spans="4:25" x14ac:dyDescent="0.25">
      <c r="Q12" s="85" t="s">
        <v>102</v>
      </c>
      <c r="R12">
        <v>0.75</v>
      </c>
      <c r="S12" s="70">
        <f>(1398489+16976)/388967</f>
        <v>3.6390362164399552</v>
      </c>
      <c r="T12" s="82">
        <v>0.21</v>
      </c>
      <c r="U12" s="83">
        <f t="shared" si="0"/>
        <v>0.19355644848621206</v>
      </c>
    </row>
    <row r="13" spans="4:25" x14ac:dyDescent="0.25">
      <c r="D13" s="1" t="s">
        <v>98</v>
      </c>
      <c r="E13" s="70">
        <f>E10+E9*E11</f>
        <v>9.386488084176664E-2</v>
      </c>
      <c r="F13" s="70">
        <f>F10+F9*F11</f>
        <v>0.10644272096201901</v>
      </c>
      <c r="Q13" s="85" t="s">
        <v>103</v>
      </c>
      <c r="R13">
        <v>1.0900000000000001</v>
      </c>
      <c r="S13" s="70">
        <f>308435/160504</f>
        <v>1.92166550366346</v>
      </c>
      <c r="T13" s="82">
        <v>0.21</v>
      </c>
      <c r="U13" s="83">
        <f t="shared" si="0"/>
        <v>0.43286334272423843</v>
      </c>
    </row>
    <row r="14" spans="4:25" x14ac:dyDescent="0.25">
      <c r="Q14" s="85" t="s">
        <v>104</v>
      </c>
      <c r="R14">
        <v>1.27</v>
      </c>
      <c r="S14" s="70">
        <f>7317.7/34053.3</f>
        <v>0.21488959953954534</v>
      </c>
      <c r="T14" s="70">
        <v>0.20599999999999999</v>
      </c>
      <c r="U14" s="83">
        <f t="shared" si="0"/>
        <v>1.0848930132265326</v>
      </c>
    </row>
    <row r="15" spans="4:25" x14ac:dyDescent="0.25">
      <c r="Q15" s="85" t="s">
        <v>0</v>
      </c>
      <c r="R15">
        <v>1.36</v>
      </c>
      <c r="S15" s="70">
        <f>('Financial Statements'!F56+'Financial Statements'!F57)/'Financial Statements'!F62</f>
        <v>0.11454343420901628</v>
      </c>
      <c r="T15" s="82">
        <v>0.21</v>
      </c>
      <c r="U15" s="83">
        <f t="shared" si="0"/>
        <v>1.2471465641668953</v>
      </c>
    </row>
    <row r="16" spans="4:25" x14ac:dyDescent="0.25">
      <c r="D16" t="s">
        <v>121</v>
      </c>
      <c r="E16" s="4" t="s">
        <v>122</v>
      </c>
      <c r="F16" s="70">
        <v>2.1499999999999998E-2</v>
      </c>
      <c r="H16" t="s">
        <v>123</v>
      </c>
    </row>
    <row r="17" spans="4:21" x14ac:dyDescent="0.25">
      <c r="D17" t="s">
        <v>124</v>
      </c>
      <c r="E17" s="97">
        <f>AVERAGE('Financial Statements'!G32:K32)</f>
        <v>0.13599999999999998</v>
      </c>
      <c r="F17" s="82">
        <v>0.15</v>
      </c>
      <c r="H17" t="s">
        <v>125</v>
      </c>
      <c r="Q17" t="s">
        <v>110</v>
      </c>
      <c r="U17" s="84">
        <f>MEDIAN(U10:U15)</f>
        <v>0.40660705786308887</v>
      </c>
    </row>
    <row r="19" spans="4:21" x14ac:dyDescent="0.25">
      <c r="D19" s="1" t="s">
        <v>126</v>
      </c>
      <c r="F19" s="70">
        <f>F16*(1-F17)</f>
        <v>1.8275E-2</v>
      </c>
      <c r="Q19" t="s">
        <v>111</v>
      </c>
    </row>
    <row r="20" spans="4:21" x14ac:dyDescent="0.25">
      <c r="Q20" t="s">
        <v>112</v>
      </c>
    </row>
    <row r="21" spans="4:21" x14ac:dyDescent="0.25">
      <c r="D21" t="s">
        <v>127</v>
      </c>
      <c r="E21" s="3">
        <f>'Company Sheet'!E11/1000</f>
        <v>20461335.734949999</v>
      </c>
      <c r="H21" t="s">
        <v>131</v>
      </c>
      <c r="Q21" t="s">
        <v>167</v>
      </c>
    </row>
    <row r="22" spans="4:21" x14ac:dyDescent="0.25">
      <c r="D22" t="s">
        <v>66</v>
      </c>
      <c r="E22" s="45">
        <f>'Financial Statements'!F56+'Financial Statements'!F57</f>
        <v>1263582</v>
      </c>
    </row>
    <row r="23" spans="4:21" x14ac:dyDescent="0.25">
      <c r="D23" t="s">
        <v>128</v>
      </c>
      <c r="E23" s="3">
        <f>SUM(E21,E22)</f>
        <v>21724917.734949999</v>
      </c>
      <c r="R23" s="8" t="s">
        <v>113</v>
      </c>
      <c r="S23" s="8" t="s">
        <v>114</v>
      </c>
    </row>
    <row r="24" spans="4:21" x14ac:dyDescent="0.25">
      <c r="Q24" t="s">
        <v>108</v>
      </c>
      <c r="R24">
        <v>1.4</v>
      </c>
      <c r="S24">
        <v>1.6</v>
      </c>
    </row>
    <row r="25" spans="4:21" x14ac:dyDescent="0.25">
      <c r="D25" t="s">
        <v>130</v>
      </c>
      <c r="E25" s="70">
        <f>E21/E23</f>
        <v>0.94183720208214139</v>
      </c>
      <c r="Q25" t="s">
        <v>109</v>
      </c>
      <c r="R25" s="70">
        <f>S15</f>
        <v>0.11454343420901628</v>
      </c>
      <c r="S25" s="70">
        <f>S15</f>
        <v>0.11454343420901628</v>
      </c>
    </row>
    <row r="26" spans="4:21" x14ac:dyDescent="0.25">
      <c r="D26" t="s">
        <v>106</v>
      </c>
      <c r="E26" s="70">
        <f>E22/E23</f>
        <v>5.8162797917858639E-2</v>
      </c>
      <c r="Q26" t="s">
        <v>115</v>
      </c>
      <c r="R26" s="82">
        <v>0.15</v>
      </c>
      <c r="S26" s="82">
        <v>0.15</v>
      </c>
    </row>
    <row r="27" spans="4:21" x14ac:dyDescent="0.25">
      <c r="Q27" t="s">
        <v>105</v>
      </c>
      <c r="R27" s="84">
        <f>R24*(1+(1-R26)*R25)</f>
        <v>1.5363066867087292</v>
      </c>
      <c r="S27" s="84">
        <f>S24*(1+(1-S26)*S25)</f>
        <v>1.7557790705242622</v>
      </c>
    </row>
    <row r="28" spans="4:21" x14ac:dyDescent="0.25">
      <c r="D28" s="1" t="s">
        <v>97</v>
      </c>
      <c r="E28" s="89">
        <f>E25*E13+E26*F19</f>
        <v>8.9468361877731953E-2</v>
      </c>
      <c r="F28" s="89">
        <f>E25*F13+E26*F19</f>
        <v>0.10131463962482695</v>
      </c>
      <c r="H28" t="s">
        <v>133</v>
      </c>
    </row>
    <row r="32" spans="4:21" x14ac:dyDescent="0.25">
      <c r="D32" s="1" t="s">
        <v>171</v>
      </c>
      <c r="E32" s="91">
        <f>E21+E22-'Financial Statements'!F38-4200000</f>
        <v>12167035.734949999</v>
      </c>
      <c r="H32" t="s">
        <v>174</v>
      </c>
    </row>
  </sheetData>
  <mergeCells count="2">
    <mergeCell ref="D6:L6"/>
    <mergeCell ref="Q6:V6"/>
  </mergeCells>
  <pageMargins left="0.7" right="0.7" top="0.75" bottom="0.75" header="0.3" footer="0.3"/>
  <ignoredErrors>
    <ignoredError sqref="E1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E4707-C3FA-4131-A0FC-6BA8708431FB}">
  <dimension ref="C4:R41"/>
  <sheetViews>
    <sheetView showGridLines="0" workbookViewId="0">
      <selection activeCell="H27" sqref="H27"/>
    </sheetView>
  </sheetViews>
  <sheetFormatPr defaultRowHeight="15" x14ac:dyDescent="0.25"/>
  <cols>
    <col min="4" max="4" width="23.5703125" customWidth="1"/>
    <col min="5" max="5" width="16.7109375" customWidth="1"/>
    <col min="6" max="7" width="12.140625" customWidth="1"/>
    <col min="8" max="8" width="12.28515625" customWidth="1"/>
    <col min="9" max="9" width="11.5703125" customWidth="1"/>
    <col min="10" max="10" width="13.42578125" customWidth="1"/>
    <col min="11" max="11" width="12.85546875" customWidth="1"/>
    <col min="12" max="12" width="13" customWidth="1"/>
    <col min="14" max="14" width="14.140625" customWidth="1"/>
    <col min="15" max="15" width="9.5703125" customWidth="1"/>
    <col min="16" max="16" width="11.7109375" customWidth="1"/>
  </cols>
  <sheetData>
    <row r="4" spans="3:18" x14ac:dyDescent="0.25">
      <c r="C4" s="2"/>
      <c r="D4" s="107" t="s">
        <v>168</v>
      </c>
      <c r="E4" s="89">
        <v>7.3499999999999996E-2</v>
      </c>
      <c r="G4" t="s">
        <v>169</v>
      </c>
    </row>
    <row r="6" spans="3:18" ht="21" x14ac:dyDescent="0.35">
      <c r="D6" s="6" t="s">
        <v>134</v>
      </c>
      <c r="E6" s="6"/>
      <c r="F6" s="6"/>
      <c r="G6" s="6"/>
      <c r="H6" s="6"/>
      <c r="I6" s="6"/>
      <c r="J6" s="6"/>
      <c r="K6" s="6"/>
      <c r="L6" s="6"/>
      <c r="M6" s="6"/>
      <c r="N6" s="6"/>
      <c r="O6" s="6"/>
      <c r="P6" s="6"/>
      <c r="Q6" s="6"/>
      <c r="R6" s="6"/>
    </row>
    <row r="7" spans="3:18" x14ac:dyDescent="0.25">
      <c r="G7" s="3"/>
    </row>
    <row r="8" spans="3:18" x14ac:dyDescent="0.25">
      <c r="E8" s="4" t="s">
        <v>20</v>
      </c>
      <c r="F8" s="4"/>
      <c r="G8" s="4"/>
      <c r="H8">
        <v>1</v>
      </c>
      <c r="I8">
        <v>2</v>
      </c>
      <c r="J8">
        <v>3</v>
      </c>
      <c r="K8">
        <v>4</v>
      </c>
      <c r="L8">
        <v>5</v>
      </c>
    </row>
    <row r="9" spans="3:18" x14ac:dyDescent="0.25">
      <c r="E9" s="8" t="s">
        <v>10</v>
      </c>
      <c r="F9" s="8" t="s">
        <v>11</v>
      </c>
      <c r="G9" s="8" t="s">
        <v>12</v>
      </c>
      <c r="H9" s="8" t="s">
        <v>15</v>
      </c>
      <c r="I9" s="8" t="s">
        <v>16</v>
      </c>
      <c r="J9" s="8" t="s">
        <v>17</v>
      </c>
      <c r="K9" s="8" t="s">
        <v>18</v>
      </c>
      <c r="L9" s="8" t="s">
        <v>19</v>
      </c>
      <c r="N9" s="25" t="s">
        <v>117</v>
      </c>
    </row>
    <row r="10" spans="3:18" x14ac:dyDescent="0.25">
      <c r="D10" t="s">
        <v>9</v>
      </c>
      <c r="E10" s="11">
        <f>'Financial Statements'!D7</f>
        <v>1134468</v>
      </c>
      <c r="F10" s="11">
        <f>'Financial Statements'!E7</f>
        <v>1761776</v>
      </c>
      <c r="G10" s="11">
        <f>'Financial Statements'!F7</f>
        <v>2841839</v>
      </c>
      <c r="H10" s="11">
        <f>'Financial Statements'!G7</f>
        <v>3978574.5999999996</v>
      </c>
      <c r="I10" s="11">
        <f>'Financial Statements'!H7</f>
        <v>5172146.9799999995</v>
      </c>
      <c r="J10" s="11">
        <f>'Financial Statements'!I7</f>
        <v>6361740.7853999995</v>
      </c>
      <c r="K10" s="11">
        <f>'Financial Statements'!J7</f>
        <v>7316001.9032099992</v>
      </c>
      <c r="L10" s="11">
        <f>'Financial Statements'!K7</f>
        <v>8193922.1315951999</v>
      </c>
    </row>
    <row r="11" spans="3:18" x14ac:dyDescent="0.25">
      <c r="D11" t="s">
        <v>24</v>
      </c>
      <c r="E11" s="61">
        <f>'Financial Statements'!D14</f>
        <v>-369785</v>
      </c>
      <c r="F11" s="61">
        <f>'Financial Statements'!E14</f>
        <v>-492901</v>
      </c>
      <c r="G11" s="61">
        <f>'Financial Statements'!F14</f>
        <v>-915584</v>
      </c>
      <c r="H11" s="61">
        <f>'Financial Statements'!G14</f>
        <v>-994643.64999999991</v>
      </c>
      <c r="I11" s="61">
        <f>'Financial Statements'!H14</f>
        <v>155164.40940000024</v>
      </c>
      <c r="J11" s="61">
        <f>'Financial Statements'!I14</f>
        <v>1145113.3413719996</v>
      </c>
      <c r="K11" s="61">
        <f>'Financial Statements'!J14</f>
        <v>1902160.4948346</v>
      </c>
      <c r="L11" s="61">
        <f>'Financial Statements'!K14</f>
        <v>3031751.1886902233</v>
      </c>
    </row>
    <row r="12" spans="3:18" x14ac:dyDescent="0.25">
      <c r="D12" t="s">
        <v>81</v>
      </c>
      <c r="E12" s="90">
        <f>'Financial Statements'!D32</f>
        <v>0.15</v>
      </c>
      <c r="F12" s="90">
        <f>'Financial Statements'!E32</f>
        <v>0.04</v>
      </c>
      <c r="G12" s="90">
        <f>'Financial Statements'!F32</f>
        <v>0.02</v>
      </c>
      <c r="H12" s="90">
        <f>'Financial Statements'!G32</f>
        <v>0.06</v>
      </c>
      <c r="I12" s="90">
        <f>'Financial Statements'!H32</f>
        <v>7.0000000000000007E-2</v>
      </c>
      <c r="J12" s="90">
        <f>'Financial Statements'!I32</f>
        <v>0.13</v>
      </c>
      <c r="K12" s="90">
        <f>'Financial Statements'!J32</f>
        <v>0.21</v>
      </c>
      <c r="L12" s="90">
        <f>'Financial Statements'!K32</f>
        <v>0.21</v>
      </c>
    </row>
    <row r="13" spans="3:18" x14ac:dyDescent="0.25">
      <c r="D13" s="1" t="s">
        <v>135</v>
      </c>
      <c r="E13" s="94">
        <f>E11*(1-E12)</f>
        <v>-314317.25</v>
      </c>
      <c r="F13" s="94">
        <f t="shared" ref="F13:L13" si="0">F11*(1-F12)</f>
        <v>-473184.95999999996</v>
      </c>
      <c r="G13" s="94">
        <f t="shared" si="0"/>
        <v>-897272.31999999995</v>
      </c>
      <c r="H13" s="94">
        <f t="shared" si="0"/>
        <v>-934965.03099999984</v>
      </c>
      <c r="I13" s="94">
        <f t="shared" si="0"/>
        <v>144302.9007420002</v>
      </c>
      <c r="J13" s="94">
        <f t="shared" si="0"/>
        <v>996248.60699363961</v>
      </c>
      <c r="K13" s="94">
        <f t="shared" si="0"/>
        <v>1502706.7909193342</v>
      </c>
      <c r="L13" s="94">
        <f t="shared" si="0"/>
        <v>2395083.4390652766</v>
      </c>
    </row>
    <row r="15" spans="3:18" x14ac:dyDescent="0.25">
      <c r="D15" t="s">
        <v>26</v>
      </c>
      <c r="E15" s="61">
        <f>'Financial Statements'!D16</f>
        <v>110430</v>
      </c>
      <c r="F15" s="61">
        <f>'Financial Statements'!E16</f>
        <v>149660</v>
      </c>
      <c r="G15" s="61">
        <f>'Financial Statements'!F16</f>
        <v>258378</v>
      </c>
      <c r="H15" s="61">
        <f>'Financial Statements'!G16</f>
        <v>358071.71399999998</v>
      </c>
      <c r="I15" s="61">
        <f>'Financial Statements'!H16</f>
        <v>362050.28860000003</v>
      </c>
      <c r="J15" s="61">
        <f>'Financial Statements'!I16</f>
        <v>318087.03927000001</v>
      </c>
      <c r="K15" s="61">
        <f>'Financial Statements'!J16</f>
        <v>292640.07612839999</v>
      </c>
      <c r="L15" s="61">
        <f>'Financial Statements'!K16</f>
        <v>245817.663947856</v>
      </c>
    </row>
    <row r="16" spans="3:18" x14ac:dyDescent="0.25">
      <c r="D16" t="s">
        <v>76</v>
      </c>
      <c r="E16" s="61">
        <f>-'Financial Statements'!D91</f>
        <v>45368</v>
      </c>
      <c r="F16" s="61">
        <f>-'Financial Statements'!E91</f>
        <v>25805</v>
      </c>
      <c r="G16" s="61">
        <f>-'Financial Statements'!F91</f>
        <v>46048</v>
      </c>
      <c r="H16" s="61">
        <f>'Financial Statements'!G91</f>
        <v>51721.469799999992</v>
      </c>
      <c r="I16" s="61">
        <f>'Financial Statements'!H91</f>
        <v>56893.616779999989</v>
      </c>
      <c r="J16" s="61">
        <f>'Financial Statements'!I91</f>
        <v>63617.407853999997</v>
      </c>
      <c r="K16" s="61">
        <f>'Financial Statements'!J91</f>
        <v>212164.05519309</v>
      </c>
      <c r="L16" s="61">
        <f>'Financial Statements'!K91</f>
        <v>254011.5860794512</v>
      </c>
    </row>
    <row r="17" spans="4:14" x14ac:dyDescent="0.25">
      <c r="D17" t="s">
        <v>136</v>
      </c>
      <c r="E17" s="61">
        <f>'Financial Statements'!D75</f>
        <v>0</v>
      </c>
      <c r="F17" s="61">
        <f>'Financial Statements'!E75</f>
        <v>-77178</v>
      </c>
      <c r="G17" s="61">
        <f>'Financial Statements'!F75</f>
        <v>-13442</v>
      </c>
      <c r="H17" s="61">
        <f>'Financial Statements'!G75</f>
        <v>-63336.651060655829</v>
      </c>
      <c r="I17" s="61">
        <f>'Financial Statements'!H75</f>
        <v>-57762.195318196755</v>
      </c>
      <c r="J17" s="61">
        <f>'Financial Statements'!I75</f>
        <v>-57569.654667136114</v>
      </c>
      <c r="K17" s="61">
        <f>'Financial Statements'!J75</f>
        <v>-46180.875156898284</v>
      </c>
      <c r="L17" s="61">
        <f>'Financial Statements'!K75</f>
        <v>-42486.40514434647</v>
      </c>
    </row>
    <row r="18" spans="4:14" x14ac:dyDescent="0.25">
      <c r="D18" s="1" t="s">
        <v>137</v>
      </c>
      <c r="E18" s="94">
        <f>E13+E15-E16-E17</f>
        <v>-249255.25</v>
      </c>
      <c r="F18" s="94">
        <f t="shared" ref="F18:L18" si="1">F13+F15-F16-F17</f>
        <v>-272151.95999999996</v>
      </c>
      <c r="G18" s="94">
        <f t="shared" si="1"/>
        <v>-671500.32</v>
      </c>
      <c r="H18" s="94">
        <f t="shared" si="1"/>
        <v>-565278.13573934394</v>
      </c>
      <c r="I18" s="94">
        <f t="shared" si="1"/>
        <v>507221.76788019703</v>
      </c>
      <c r="J18" s="94">
        <f t="shared" si="1"/>
        <v>1308287.8930767756</v>
      </c>
      <c r="K18" s="94">
        <f t="shared" si="1"/>
        <v>1629363.6870115425</v>
      </c>
      <c r="L18" s="94">
        <f t="shared" si="1"/>
        <v>2429375.9220780279</v>
      </c>
    </row>
    <row r="20" spans="4:14" x14ac:dyDescent="0.25">
      <c r="D20" t="s">
        <v>138</v>
      </c>
      <c r="E20" s="70"/>
      <c r="F20" s="70"/>
      <c r="G20" s="70"/>
      <c r="H20" s="102">
        <f>'Calcs &amp; Assumptions'!F28</f>
        <v>0.10131463962482695</v>
      </c>
      <c r="I20" s="102">
        <f>H20-($H$20-$L$20)/5</f>
        <v>9.8945384075407955E-2</v>
      </c>
      <c r="J20" s="102">
        <f t="shared" ref="J20:K20" si="2">I20-($H$20-$L$20)/5</f>
        <v>9.6576128525988958E-2</v>
      </c>
      <c r="K20" s="102">
        <f t="shared" si="2"/>
        <v>9.4206872976569961E-2</v>
      </c>
      <c r="L20" s="102">
        <f>'Calcs &amp; Assumptions'!E28</f>
        <v>8.9468361877731953E-2</v>
      </c>
      <c r="N20" t="s">
        <v>145</v>
      </c>
    </row>
    <row r="21" spans="4:14" x14ac:dyDescent="0.25">
      <c r="D21" t="s">
        <v>139</v>
      </c>
      <c r="E21" s="92"/>
      <c r="F21" s="92"/>
      <c r="G21" s="92"/>
      <c r="H21" s="106">
        <f>1/(1+H20)</f>
        <v>0.90800572699247806</v>
      </c>
      <c r="I21" s="106">
        <f t="shared" ref="G21:L21" si="3">H21*1/(1+I20)</f>
        <v>0.8262519140170228</v>
      </c>
      <c r="J21" s="106">
        <f t="shared" si="3"/>
        <v>0.75348340395451219</v>
      </c>
      <c r="K21" s="106">
        <f t="shared" si="3"/>
        <v>0.68861147061232764</v>
      </c>
      <c r="L21" s="106">
        <f t="shared" si="3"/>
        <v>0.63206192552988394</v>
      </c>
    </row>
    <row r="22" spans="4:14" x14ac:dyDescent="0.25">
      <c r="D22" s="1" t="s">
        <v>140</v>
      </c>
      <c r="E22" s="93">
        <f>E18*E21</f>
        <v>0</v>
      </c>
      <c r="F22" s="93">
        <f t="shared" ref="F22:L22" si="4">F18*F21</f>
        <v>0</v>
      </c>
      <c r="G22" s="93">
        <f t="shared" si="4"/>
        <v>0</v>
      </c>
      <c r="H22" s="93">
        <f t="shared" si="4"/>
        <v>-513275.78459495568</v>
      </c>
      <c r="I22" s="93">
        <f t="shared" si="4"/>
        <v>419092.95654211089</v>
      </c>
      <c r="J22" s="93">
        <f t="shared" si="4"/>
        <v>985773.21502796572</v>
      </c>
      <c r="K22" s="93">
        <f t="shared" si="4"/>
        <v>1121998.5246753425</v>
      </c>
      <c r="L22" s="93">
        <f>L18*L21</f>
        <v>1535516.0231445755</v>
      </c>
    </row>
    <row r="24" spans="4:14" x14ac:dyDescent="0.25">
      <c r="D24" t="s">
        <v>141</v>
      </c>
      <c r="E24" s="101">
        <f>SUM(H22:L22)</f>
        <v>3549104.9347950388</v>
      </c>
    </row>
    <row r="25" spans="4:14" x14ac:dyDescent="0.25">
      <c r="D25" t="s">
        <v>142</v>
      </c>
      <c r="E25" s="101">
        <f>L22</f>
        <v>1535516.0231445755</v>
      </c>
    </row>
    <row r="26" spans="4:14" x14ac:dyDescent="0.25">
      <c r="D26" t="s">
        <v>143</v>
      </c>
      <c r="E26" s="102">
        <f>L20</f>
        <v>8.9468361877731953E-2</v>
      </c>
      <c r="H26" t="s">
        <v>158</v>
      </c>
    </row>
    <row r="27" spans="4:14" x14ac:dyDescent="0.25">
      <c r="D27" t="s">
        <v>144</v>
      </c>
      <c r="E27" s="101">
        <f>E25/(E26-E4)</f>
        <v>96159896.3564239</v>
      </c>
    </row>
    <row r="28" spans="4:14" x14ac:dyDescent="0.25">
      <c r="D28" t="s">
        <v>151</v>
      </c>
      <c r="E28" s="101">
        <f>E27*L21</f>
        <v>60779009.249795362</v>
      </c>
    </row>
    <row r="29" spans="4:14" x14ac:dyDescent="0.25">
      <c r="D29" t="s">
        <v>152</v>
      </c>
      <c r="E29" s="101">
        <f>SUM(E28,E24)</f>
        <v>64328114.184590399</v>
      </c>
      <c r="H29" t="s">
        <v>148</v>
      </c>
    </row>
    <row r="30" spans="4:14" x14ac:dyDescent="0.25">
      <c r="D30" t="s">
        <v>146</v>
      </c>
      <c r="E30" s="90">
        <v>0.1</v>
      </c>
      <c r="H30" t="s">
        <v>149</v>
      </c>
    </row>
    <row r="31" spans="4:14" x14ac:dyDescent="0.25">
      <c r="D31" s="46" t="s">
        <v>147</v>
      </c>
      <c r="E31" s="103">
        <f>E24*0.5</f>
        <v>1774552.4673975194</v>
      </c>
    </row>
    <row r="32" spans="4:14" x14ac:dyDescent="0.25">
      <c r="D32" s="1" t="s">
        <v>150</v>
      </c>
      <c r="E32" s="95">
        <f>E29*(1-E30)+E31*E30</f>
        <v>58072758.012871116</v>
      </c>
      <c r="H32" t="s">
        <v>159</v>
      </c>
      <c r="J32" s="9">
        <f>171702846+9820605</f>
        <v>181523451</v>
      </c>
    </row>
    <row r="33" spans="4:11" x14ac:dyDescent="0.25">
      <c r="D33" s="96" t="s">
        <v>153</v>
      </c>
      <c r="E33" s="61">
        <f>'Financial Statements'!F58</f>
        <v>1263582</v>
      </c>
      <c r="H33" t="s">
        <v>160</v>
      </c>
      <c r="J33" s="9">
        <v>2152819</v>
      </c>
    </row>
    <row r="34" spans="4:11" x14ac:dyDescent="0.25">
      <c r="D34" s="96" t="s">
        <v>154</v>
      </c>
      <c r="E34" s="104">
        <v>0</v>
      </c>
      <c r="H34" t="s">
        <v>161</v>
      </c>
      <c r="J34" s="9">
        <v>37.21</v>
      </c>
    </row>
    <row r="35" spans="4:11" x14ac:dyDescent="0.25">
      <c r="D35" s="96" t="s">
        <v>155</v>
      </c>
      <c r="E35" s="61">
        <f>'Financial Statements'!F38</f>
        <v>5357882</v>
      </c>
      <c r="H35" t="s">
        <v>162</v>
      </c>
      <c r="J35" s="9">
        <f>J33*J34</f>
        <v>80106394.989999995</v>
      </c>
    </row>
    <row r="36" spans="4:11" x14ac:dyDescent="0.25">
      <c r="D36" s="96" t="s">
        <v>156</v>
      </c>
      <c r="E36" s="104">
        <v>0</v>
      </c>
      <c r="H36" t="s">
        <v>163</v>
      </c>
      <c r="J36" s="9">
        <f>J35/'Company Sheet'!E10</f>
        <v>716387.00581291365</v>
      </c>
    </row>
    <row r="37" spans="4:11" x14ac:dyDescent="0.25">
      <c r="D37" s="100" t="s">
        <v>157</v>
      </c>
      <c r="E37" s="105">
        <f>E32-E33-E34+E35+E36</f>
        <v>62167058.012871116</v>
      </c>
      <c r="H37" s="46" t="s">
        <v>165</v>
      </c>
      <c r="I37" s="46"/>
      <c r="J37" s="99">
        <v>24697</v>
      </c>
    </row>
    <row r="38" spans="4:11" x14ac:dyDescent="0.25">
      <c r="D38" s="96" t="s">
        <v>3</v>
      </c>
      <c r="E38" s="88">
        <f>E37/J38</f>
        <v>339.7393267500791</v>
      </c>
      <c r="H38" s="1" t="s">
        <v>164</v>
      </c>
      <c r="J38" s="98">
        <f>(J32+J33-J36+J37)/1000</f>
        <v>182984.57999418708</v>
      </c>
      <c r="K38" t="s">
        <v>170</v>
      </c>
    </row>
    <row r="39" spans="4:11" x14ac:dyDescent="0.25">
      <c r="D39" s="96"/>
    </row>
    <row r="40" spans="4:11" x14ac:dyDescent="0.25">
      <c r="D40" s="96"/>
    </row>
    <row r="41" spans="4:11" x14ac:dyDescent="0.25">
      <c r="D41" s="96"/>
      <c r="E41" s="45"/>
    </row>
  </sheetData>
  <mergeCells count="1">
    <mergeCell ref="D6:R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Company Sheet</vt:lpstr>
      <vt:lpstr>Financial Statements</vt:lpstr>
      <vt:lpstr>Calcs &amp; Assumptions</vt:lpstr>
      <vt:lpstr>DCF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Jasper Chang</dc:creator>
  <cp:lastModifiedBy>Jasper Chang</cp:lastModifiedBy>
  <dcterms:created xsi:type="dcterms:W3CDTF">2022-04-29T18:47:24Z</dcterms:created>
  <dcterms:modified xsi:type="dcterms:W3CDTF">2022-05-02T00:23:16Z</dcterms:modified>
</cp:coreProperties>
</file>